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fedorenko\Desktop\МП БГС 17-24\24. МП БГС 17-24 в ред. февраля 2021\Постановление от _____________________\"/>
    </mc:Choice>
  </mc:AlternateContent>
  <xr:revisionPtr revIDLastSave="0" documentId="13_ncr:1_{19958C56-05DE-4A47-90E2-9A9B6B8816E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3" sheetId="3" r:id="rId1"/>
  </sheets>
  <definedNames>
    <definedName name="_xlnm.Print_Titles" localSheetId="0">Лист3!$16:$16</definedName>
    <definedName name="_xlnm.Print_Area" localSheetId="0">Лист3!$A$1:$O$100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5" i="3" l="1"/>
  <c r="J42" i="3"/>
  <c r="J81" i="3"/>
  <c r="J23" i="3" l="1"/>
  <c r="J18" i="3"/>
  <c r="I42" i="3"/>
  <c r="J19" i="3" l="1"/>
  <c r="J24" i="3"/>
  <c r="E39" i="3" l="1"/>
  <c r="E82" i="3" l="1"/>
  <c r="E45" i="3"/>
  <c r="K21" i="3"/>
  <c r="K23" i="3"/>
  <c r="J41" i="3"/>
  <c r="J33" i="3"/>
  <c r="I53" i="3"/>
  <c r="I67" i="3"/>
  <c r="I82" i="3"/>
  <c r="I33" i="3"/>
  <c r="I90" i="3" l="1"/>
  <c r="I69" i="3"/>
  <c r="I21" i="3" l="1"/>
  <c r="I41" i="3" l="1"/>
  <c r="I46" i="3" l="1"/>
  <c r="I37" i="3" l="1"/>
  <c r="E34" i="3"/>
  <c r="M35" i="3"/>
  <c r="L35" i="3"/>
  <c r="K35" i="3"/>
  <c r="J35" i="3"/>
  <c r="I35" i="3"/>
  <c r="H35" i="3"/>
  <c r="G35" i="3"/>
  <c r="F35" i="3"/>
  <c r="I77" i="3" l="1"/>
  <c r="I39" i="3"/>
  <c r="J95" i="3" l="1"/>
  <c r="K95" i="3"/>
  <c r="L95" i="3"/>
  <c r="M95" i="3"/>
  <c r="K37" i="3"/>
  <c r="L37" i="3"/>
  <c r="M37" i="3"/>
  <c r="J37" i="3"/>
  <c r="E22" i="3"/>
  <c r="I45" i="3" l="1"/>
  <c r="I23" i="3" l="1"/>
  <c r="E19" i="3" l="1"/>
  <c r="I99" i="3" l="1"/>
  <c r="I86" i="3" l="1"/>
  <c r="I81" i="3"/>
  <c r="E62" i="3" l="1"/>
  <c r="E70" i="3"/>
  <c r="K77" i="3" l="1"/>
  <c r="J77" i="3"/>
  <c r="H33" i="3" l="1"/>
  <c r="I59" i="3" l="1"/>
  <c r="H42" i="3" l="1"/>
  <c r="H23" i="3" l="1"/>
  <c r="H21" i="3"/>
  <c r="H41" i="3"/>
  <c r="H39" i="3" l="1"/>
  <c r="H48" i="3" l="1"/>
  <c r="E47" i="3" l="1"/>
  <c r="M48" i="3"/>
  <c r="M51" i="3" s="1"/>
  <c r="L48" i="3"/>
  <c r="L51" i="3" s="1"/>
  <c r="K48" i="3"/>
  <c r="J48" i="3"/>
  <c r="I48" i="3"/>
  <c r="F48" i="3"/>
  <c r="H20" i="3"/>
  <c r="E20" i="3" s="1"/>
  <c r="H53" i="3"/>
  <c r="E91" i="3" l="1"/>
  <c r="E89" i="3"/>
  <c r="M92" i="3" l="1"/>
  <c r="M93" i="3" s="1"/>
  <c r="L92" i="3"/>
  <c r="L93" i="3" s="1"/>
  <c r="M83" i="3" l="1"/>
  <c r="M84" i="3" s="1"/>
  <c r="L83" i="3"/>
  <c r="L84" i="3" s="1"/>
  <c r="E77" i="3"/>
  <c r="M78" i="3"/>
  <c r="M79" i="3" s="1"/>
  <c r="L78" i="3"/>
  <c r="L79" i="3" s="1"/>
  <c r="M71" i="3"/>
  <c r="M72" i="3" s="1"/>
  <c r="L71" i="3"/>
  <c r="L72" i="3" s="1"/>
  <c r="M64" i="3"/>
  <c r="M65" i="3" s="1"/>
  <c r="L64" i="3"/>
  <c r="L65" i="3" s="1"/>
  <c r="E55" i="3"/>
  <c r="M56" i="3"/>
  <c r="M57" i="3" s="1"/>
  <c r="L56" i="3"/>
  <c r="L57" i="3" s="1"/>
  <c r="E44" i="3"/>
  <c r="M36" i="3" l="1"/>
  <c r="M96" i="3"/>
  <c r="M97" i="3" s="1"/>
  <c r="L36" i="3"/>
  <c r="L96" i="3"/>
  <c r="L97" i="3" s="1"/>
  <c r="E33" i="3"/>
  <c r="H86" i="3" l="1"/>
  <c r="E86" i="3" s="1"/>
  <c r="G43" i="3" l="1"/>
  <c r="I36" i="3" l="1"/>
  <c r="J36" i="3"/>
  <c r="K78" i="3" l="1"/>
  <c r="J78" i="3"/>
  <c r="I78" i="3"/>
  <c r="H78" i="3"/>
  <c r="H64" i="3" l="1"/>
  <c r="E63" i="3"/>
  <c r="F64" i="3"/>
  <c r="J64" i="3"/>
  <c r="I64" i="3"/>
  <c r="H36" i="3"/>
  <c r="G90" i="3"/>
  <c r="E90" i="3" s="1"/>
  <c r="E53" i="3" l="1"/>
  <c r="H67" i="3"/>
  <c r="G39" i="3" l="1"/>
  <c r="G59" i="3" l="1"/>
  <c r="G25" i="3"/>
  <c r="G23" i="3"/>
  <c r="G64" i="3" l="1"/>
  <c r="G21" i="3"/>
  <c r="E21" i="3" s="1"/>
  <c r="E81" i="3" l="1"/>
  <c r="K61" i="3"/>
  <c r="E61" i="3" s="1"/>
  <c r="E59" i="3"/>
  <c r="E23" i="3"/>
  <c r="G67" i="3"/>
  <c r="E67" i="3" l="1"/>
  <c r="K36" i="3"/>
  <c r="K64" i="3"/>
  <c r="G76" i="3" l="1"/>
  <c r="G40" i="3" l="1"/>
  <c r="E40" i="3" l="1"/>
  <c r="G82" i="3"/>
  <c r="G69" i="3" l="1"/>
  <c r="E69" i="3" s="1"/>
  <c r="E41" i="3" l="1"/>
  <c r="F92" i="3"/>
  <c r="J92" i="3"/>
  <c r="I92" i="3"/>
  <c r="H92" i="3"/>
  <c r="K92" i="3"/>
  <c r="G92" i="3"/>
  <c r="G74" i="3" l="1"/>
  <c r="G78" i="3" s="1"/>
  <c r="G37" i="3" l="1"/>
  <c r="E32" i="3"/>
  <c r="E31" i="3"/>
  <c r="G95" i="3" l="1"/>
  <c r="H95" i="3"/>
  <c r="I95" i="3"/>
  <c r="F95" i="3"/>
  <c r="G94" i="3"/>
  <c r="H94" i="3"/>
  <c r="I94" i="3"/>
  <c r="J94" i="3"/>
  <c r="J93" i="3" s="1"/>
  <c r="K94" i="3"/>
  <c r="F94" i="3"/>
  <c r="F98" i="3" s="1"/>
  <c r="K98" i="3"/>
  <c r="J98" i="3"/>
  <c r="G98" i="3"/>
  <c r="E88" i="3"/>
  <c r="E87" i="3"/>
  <c r="I50" i="3"/>
  <c r="J50" i="3"/>
  <c r="K50" i="3"/>
  <c r="H50" i="3"/>
  <c r="K49" i="3"/>
  <c r="J49" i="3"/>
  <c r="I49" i="3"/>
  <c r="H49" i="3"/>
  <c r="G49" i="3"/>
  <c r="G99" i="3" s="1"/>
  <c r="F36" i="3"/>
  <c r="H37" i="3"/>
  <c r="F37" i="3"/>
  <c r="E24" i="3"/>
  <c r="E30" i="3"/>
  <c r="E29" i="3"/>
  <c r="I51" i="3" l="1"/>
  <c r="E37" i="3"/>
  <c r="I98" i="3"/>
  <c r="I93" i="3"/>
  <c r="K51" i="3"/>
  <c r="J51" i="3"/>
  <c r="H98" i="3"/>
  <c r="E98" i="3" s="1"/>
  <c r="H93" i="3"/>
  <c r="E49" i="3"/>
  <c r="G93" i="3"/>
  <c r="E95" i="3"/>
  <c r="E94" i="3"/>
  <c r="H100" i="3"/>
  <c r="J100" i="3"/>
  <c r="F100" i="3"/>
  <c r="K100" i="3"/>
  <c r="I100" i="3"/>
  <c r="K93" i="3"/>
  <c r="K56" i="3"/>
  <c r="K57" i="3" s="1"/>
  <c r="E68" i="3"/>
  <c r="E60" i="3"/>
  <c r="E54" i="3"/>
  <c r="E46" i="3"/>
  <c r="E43" i="3"/>
  <c r="E42" i="3"/>
  <c r="J83" i="3"/>
  <c r="J84" i="3" s="1"/>
  <c r="J79" i="3"/>
  <c r="J71" i="3"/>
  <c r="J72" i="3" s="1"/>
  <c r="J65" i="3"/>
  <c r="J56" i="3"/>
  <c r="J57" i="3" s="1"/>
  <c r="E71" i="3" l="1"/>
  <c r="J96" i="3"/>
  <c r="J97" i="3" s="1"/>
  <c r="K65" i="3"/>
  <c r="K71" i="3"/>
  <c r="K72" i="3" s="1"/>
  <c r="K83" i="3"/>
  <c r="K84" i="3" s="1"/>
  <c r="K79" i="3"/>
  <c r="G18" i="3"/>
  <c r="E18" i="3" l="1"/>
  <c r="E35" i="3" s="1"/>
  <c r="G36" i="3"/>
  <c r="E36" i="3" s="1"/>
  <c r="K96" i="3"/>
  <c r="K97" i="3" s="1"/>
  <c r="F99" i="3"/>
  <c r="E99" i="3" s="1"/>
  <c r="F93" i="3"/>
  <c r="I83" i="3"/>
  <c r="I84" i="3" s="1"/>
  <c r="H83" i="3"/>
  <c r="H84" i="3" s="1"/>
  <c r="G83" i="3"/>
  <c r="G84" i="3" s="1"/>
  <c r="F83" i="3"/>
  <c r="F84" i="3" s="1"/>
  <c r="E83" i="3"/>
  <c r="I79" i="3"/>
  <c r="H79" i="3"/>
  <c r="F76" i="3"/>
  <c r="E76" i="3" s="1"/>
  <c r="F75" i="3"/>
  <c r="I71" i="3"/>
  <c r="I72" i="3" s="1"/>
  <c r="H71" i="3"/>
  <c r="H72" i="3" s="1"/>
  <c r="G71" i="3"/>
  <c r="G72" i="3" s="1"/>
  <c r="F71" i="3"/>
  <c r="F72" i="3" s="1"/>
  <c r="I65" i="3"/>
  <c r="H65" i="3"/>
  <c r="F65" i="3"/>
  <c r="I56" i="3"/>
  <c r="I57" i="3" s="1"/>
  <c r="H56" i="3"/>
  <c r="H57" i="3" s="1"/>
  <c r="G56" i="3"/>
  <c r="G57" i="3" s="1"/>
  <c r="F56" i="3"/>
  <c r="F57" i="3" s="1"/>
  <c r="G50" i="3"/>
  <c r="E50" i="3" s="1"/>
  <c r="H51" i="3"/>
  <c r="F51" i="3"/>
  <c r="G45" i="3"/>
  <c r="E28" i="3"/>
  <c r="E27" i="3"/>
  <c r="E26" i="3"/>
  <c r="E25" i="3"/>
  <c r="E72" i="3" l="1"/>
  <c r="E48" i="3"/>
  <c r="E51" i="3" s="1"/>
  <c r="G48" i="3"/>
  <c r="E84" i="3"/>
  <c r="E57" i="3"/>
  <c r="E75" i="3"/>
  <c r="F78" i="3"/>
  <c r="E92" i="3"/>
  <c r="E93" i="3" s="1"/>
  <c r="G100" i="3"/>
  <c r="E100" i="3" s="1"/>
  <c r="G65" i="3"/>
  <c r="E65" i="3" s="1"/>
  <c r="G79" i="3"/>
  <c r="E74" i="3"/>
  <c r="G51" i="3"/>
  <c r="E56" i="3"/>
  <c r="H96" i="3"/>
  <c r="H97" i="3" s="1"/>
  <c r="I96" i="3"/>
  <c r="I97" i="3" s="1"/>
  <c r="E64" i="3" l="1"/>
  <c r="E78" i="3"/>
  <c r="G96" i="3"/>
  <c r="G97" i="3" s="1"/>
  <c r="F79" i="3"/>
  <c r="E79" i="3" s="1"/>
  <c r="F96" i="3"/>
  <c r="F97" i="3" s="1"/>
  <c r="E96" i="3" l="1"/>
  <c r="E97" i="3" l="1"/>
</calcChain>
</file>

<file path=xl/sharedStrings.xml><?xml version="1.0" encoding="utf-8"?>
<sst xmlns="http://schemas.openxmlformats.org/spreadsheetml/2006/main" count="312" uniqueCount="167">
  <si>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</si>
  <si>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</si>
  <si>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</si>
  <si>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</si>
  <si>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</si>
  <si>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>ПЕРЕЧЕНЬ</t>
  </si>
  <si>
    <t>1.1.</t>
  </si>
  <si>
    <t>1.2.</t>
  </si>
  <si>
    <t>2.1.</t>
  </si>
  <si>
    <t>3.1.</t>
  </si>
  <si>
    <t>3.2.</t>
  </si>
  <si>
    <t>3.3.</t>
  </si>
  <si>
    <t>4.1.</t>
  </si>
  <si>
    <t>4.2.</t>
  </si>
  <si>
    <t>5.1.</t>
  </si>
  <si>
    <t>5.2.</t>
  </si>
  <si>
    <t>5.3.</t>
  </si>
  <si>
    <t>6.1.</t>
  </si>
  <si>
    <t>6.2.</t>
  </si>
  <si>
    <t>6.3.</t>
  </si>
  <si>
    <t>Срок исполнения</t>
  </si>
  <si>
    <t>Источники финансирования</t>
  </si>
  <si>
    <t>4.3.</t>
  </si>
  <si>
    <t>Всего  (тыс.руб.)</t>
  </si>
  <si>
    <t xml:space="preserve"> Бюджет МО Сертолово</t>
  </si>
  <si>
    <t>2.2.</t>
  </si>
  <si>
    <t>2.3.</t>
  </si>
  <si>
    <t>2.4.</t>
  </si>
  <si>
    <t>2.5.</t>
  </si>
  <si>
    <t>Бюджет МО Сертолово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</si>
  <si>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</si>
  <si>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</si>
  <si>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</si>
  <si>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Обеспечение чистоты и порядка , улучшение санитарного и экологического состояния города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</si>
  <si>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</si>
  <si>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</si>
  <si>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</si>
  <si>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</si>
  <si>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Поддержание мест массового скопления жителей в надлежащем состояниии</t>
  </si>
  <si>
    <t>Бесперебойное освещение города в вечернее и ночное время суток с коэффициентом горения светильников не менее, чем 99%, обеспечение безопасного движения транспортных средств и пешеходов в вечернее и ночное время суток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</si>
  <si>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</si>
  <si>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</si>
  <si>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</si>
  <si>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Итого по разделу 7:</t>
  </si>
  <si>
    <t>7.1.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</si>
  <si>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</si>
  <si>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</si>
  <si>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Содержание ливневой канализации </t>
  </si>
  <si>
    <t xml:space="preserve">                             </t>
  </si>
  <si>
    <t xml:space="preserve"> </t>
  </si>
  <si>
    <t>Вырубка сухих и аварийных деревьев с компенсационной посадкой молодых саженцев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</si>
  <si>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</si>
  <si>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Итого по разделу 1, в т.ч.:</t>
  </si>
  <si>
    <t>Итого по разделу 2, в т. ч.:</t>
  </si>
  <si>
    <t>Итого по разделу 3, в т. ч.:</t>
  </si>
  <si>
    <t>Итого по разделу 4, в т.ч.:</t>
  </si>
  <si>
    <t>Итого по разделу 5, в т.ч.:</t>
  </si>
  <si>
    <t>Итого по разделу 6, в т.ч.:</t>
  </si>
  <si>
    <t>Итого по программе, в т.ч:</t>
  </si>
  <si>
    <t xml:space="preserve"> МУ "Оказание услуг "Развитие"</t>
  </si>
  <si>
    <t>7.2.</t>
  </si>
  <si>
    <t>Оплата электроэнергии, потребленной уличным освещением</t>
  </si>
  <si>
    <t xml:space="preserve">                                                  к постановлению администрации</t>
  </si>
  <si>
    <t xml:space="preserve">                  МО Сертолово</t>
  </si>
  <si>
    <t xml:space="preserve">                          ПРИЛОЖЕНИЕ №1</t>
  </si>
  <si>
    <t xml:space="preserve">"Благоустроенный город Сертолово" 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</si>
  <si>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</si>
  <si>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</si>
  <si>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Поддержание  улично-дорожной сети  в чистоте и порядке,улучшение её санитарного состояния</t>
  </si>
  <si>
    <t>Санитарная уборка территории города  в зимнее и летнее время</t>
  </si>
  <si>
    <t>Улучшение внешнего вида города, обеспечение безопасности</t>
  </si>
  <si>
    <t>Содержание мест массового скопления жителей города</t>
  </si>
  <si>
    <t>1.3.</t>
  </si>
  <si>
    <t>Комплектация дополнительным оборудованием детских и спортивных площадок</t>
  </si>
  <si>
    <t>Обеспечение занятости и физического развития детей</t>
  </si>
  <si>
    <t>1.4.</t>
  </si>
  <si>
    <t>2017 г.</t>
  </si>
  <si>
    <t>Улучшение внешнего вида территории, защита зелёных насаждений</t>
  </si>
  <si>
    <t xml:space="preserve">Улучшение внешнего вида города, обеспечение комфортных условий проживания жителей города </t>
  </si>
  <si>
    <t>Устройство декоративного ограждения</t>
  </si>
  <si>
    <t xml:space="preserve"> МЕРОПРИЯТИЙ ПО РЕАЛИЗАЦИИ МУНИЦИПАЛЬНОЙ ПРОГРАММЫ МО СЕРТОЛОВО</t>
  </si>
  <si>
    <t>Устройство и содержание малых архитектурных форм и других элементов благоустройства</t>
  </si>
  <si>
    <t>Устройство и содержание технических средств организации дорожного движения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</si>
  <si>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</si>
  <si>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Обеспечение праздничного вида города</t>
  </si>
  <si>
    <t>Содержание и текущий ремонт сети и оборудования уличного освещения города</t>
  </si>
  <si>
    <t>Капитальный ремонт автомобильных дорог и проездов города Сертолово</t>
  </si>
  <si>
    <t>2.6.</t>
  </si>
  <si>
    <t>Проектирование участков улично-дорожной сети</t>
  </si>
  <si>
    <t>1.5.</t>
  </si>
  <si>
    <t>1.6.</t>
  </si>
  <si>
    <t>Бюджет ЛО</t>
  </si>
  <si>
    <t>Уход за дорожными знаками</t>
  </si>
  <si>
    <t xml:space="preserve">Поддержание в чистоте и порядке дорожных знаков </t>
  </si>
  <si>
    <t>Бюджет Всеволожского муниципального района</t>
  </si>
  <si>
    <t>5.4.</t>
  </si>
  <si>
    <t>Исполнение требований санитарного закодательства РФ,  проведение дополнительных противоэпидимических мероприятий, профилактика инфекций, передающихся иксоидными клещами</t>
  </si>
  <si>
    <t>Проведение акарицидных обработок территорий парков, скверов, зон рекреаций, кладбищ и др. мест массового посещения населения  города</t>
  </si>
  <si>
    <t>1.7.</t>
  </si>
  <si>
    <t>1.8.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</si>
  <si>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</t>
  </si>
  <si>
    <t>4.4.</t>
  </si>
  <si>
    <t>Уничтожение борщевика Сосновского химическим способом</t>
  </si>
  <si>
    <t>2017-2018 гг.</t>
  </si>
  <si>
    <t>2018 г.</t>
  </si>
  <si>
    <t>Обеспечение безопасности и здоровья граждан, улучшение внешнего облика города</t>
  </si>
  <si>
    <r>
      <t xml:space="preserve">                              от </t>
    </r>
    <r>
      <rPr>
        <u/>
        <sz val="10"/>
        <color indexed="10"/>
        <rFont val="Arial"/>
        <family val="1"/>
        <charset val="204"/>
      </rPr>
      <t xml:space="preserve">                              </t>
    </r>
    <r>
      <rPr>
        <sz val="10"/>
        <color indexed="10"/>
        <rFont val="Arial"/>
        <family val="1"/>
        <charset val="204"/>
      </rPr>
      <t xml:space="preserve">№ </t>
    </r>
    <r>
      <rPr>
        <u/>
        <sz val="10"/>
        <color indexed="10"/>
        <rFont val="Arial"/>
        <family val="1"/>
        <charset val="204"/>
      </rPr>
      <t xml:space="preserve">   </t>
    </r>
  </si>
  <si>
    <r>
      <t xml:space="preserve">Раздел 1. </t>
    </r>
    <r>
      <rPr>
        <sz val="10"/>
        <rFont val="Times New Roman"/>
        <family val="1"/>
        <charset val="204"/>
      </rPr>
      <t xml:space="preserve">  Благоустройство территории города Сертолово </t>
    </r>
  </si>
  <si>
    <r>
      <t xml:space="preserve">Раздел 2. </t>
    </r>
    <r>
      <rPr>
        <sz val="10"/>
        <rFont val="Times New Roman"/>
        <family val="1"/>
        <charset val="204"/>
      </rPr>
      <t xml:space="preserve"> Устройство, ремонт и содержание элементов улично-дорожной сети и технических средств организации дорожного движения на территории города Сертолово     </t>
    </r>
  </si>
  <si>
    <r>
      <t xml:space="preserve">Раздел 3. </t>
    </r>
    <r>
      <rPr>
        <sz val="10"/>
        <rFont val="Times New Roman"/>
        <family val="1"/>
        <charset val="204"/>
      </rPr>
      <t xml:space="preserve"> Организация санитарного содержания улично-дорожной сети на территории города Сертолово</t>
    </r>
  </si>
  <si>
    <r>
      <t xml:space="preserve">Раздел 4. </t>
    </r>
    <r>
      <rPr>
        <sz val="10"/>
        <rFont val="Times New Roman"/>
        <family val="1"/>
        <charset val="204"/>
      </rPr>
      <t xml:space="preserve"> Организация озеленения территории города Сертолово</t>
    </r>
  </si>
  <si>
    <r>
      <t xml:space="preserve"> Раздел 5. </t>
    </r>
    <r>
      <rPr>
        <sz val="10"/>
        <rFont val="Times New Roman"/>
        <family val="1"/>
        <charset val="204"/>
      </rPr>
      <t xml:space="preserve"> Организация санитарного содержания города Сертолово</t>
    </r>
  </si>
  <si>
    <r>
      <t xml:space="preserve"> Раздел 6. </t>
    </r>
    <r>
      <rPr>
        <sz val="10"/>
        <rFont val="Times New Roman"/>
        <family val="1"/>
        <charset val="204"/>
      </rPr>
      <t xml:space="preserve"> Создание условий для массового отдыха жителей города Сертолово</t>
    </r>
  </si>
  <si>
    <r>
      <t xml:space="preserve">     </t>
    </r>
    <r>
      <rPr>
        <b/>
        <sz val="10"/>
        <rFont val="Times New Roman"/>
        <family val="1"/>
        <charset val="204"/>
      </rPr>
      <t xml:space="preserve">   Раздел 7. </t>
    </r>
    <r>
      <rPr>
        <sz val="10"/>
        <rFont val="Times New Roman"/>
        <family val="1"/>
        <charset val="204"/>
      </rPr>
      <t>Организация уличного освещения  города Сертолово</t>
    </r>
  </si>
  <si>
    <r>
      <t xml:space="preserve">Раздел 8. </t>
    </r>
    <r>
      <rPr>
        <sz val="10"/>
        <rFont val="Times New Roman"/>
        <family val="1"/>
        <charset val="204"/>
      </rPr>
      <t>Формирование комфортной городской среды</t>
    </r>
  </si>
  <si>
    <t>8.1.</t>
  </si>
  <si>
    <t>Благоустройство общественных территорий города</t>
  </si>
  <si>
    <t>8.3.</t>
  </si>
  <si>
    <t>Разработка дизайн-проектов благоустройства общественных и дворовых территорий города</t>
  </si>
  <si>
    <t>Итого по разделу 8, в т.ч.</t>
  </si>
  <si>
    <t>Обеспечение условий для комфортного культурного отдыха и времяпрепровождения жителей города</t>
  </si>
  <si>
    <t>8.2.</t>
  </si>
  <si>
    <t>Благоустройство дворовых территорий города</t>
  </si>
  <si>
    <t>1.9.</t>
  </si>
  <si>
    <t>МУ "Оказание услуг "Развитие"</t>
  </si>
  <si>
    <t>Бюджет РФ</t>
  </si>
  <si>
    <t>1.10.</t>
  </si>
  <si>
    <t>Устройство цветочной клумбы в районе д. 6 мкр. Черная Речка в г. Сертолово</t>
  </si>
  <si>
    <t>"Формирование и обустройство объекта внешнего благоустройства в районе д. 4, 7 мкр. Черная Речка в г. Сертолово</t>
  </si>
  <si>
    <t>8.4.</t>
  </si>
  <si>
    <t>Разработка паспортов благоустройства общественных и дворовых территорий города</t>
  </si>
  <si>
    <t>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</si>
  <si>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</si>
  <si>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Формирование и обустройство объекта внешнего благоустройства «Аллея молодоженов»</t>
  </si>
  <si>
    <t>Формирование и обустройство объекта внешнего благоустройства «Городская площадь»</t>
  </si>
  <si>
    <t>Устройство и содержание детских и спортивных площадок и других объектов благоустройства</t>
  </si>
  <si>
    <t>Обеспечение безопасности отдыха детей на детских и спортивных площадках и других объектах благоустройства</t>
  </si>
  <si>
    <t>1.11</t>
  </si>
  <si>
    <t>4.5</t>
  </si>
  <si>
    <t>Посадка деревьев на территории города Сертолово</t>
  </si>
  <si>
    <t>6.4</t>
  </si>
  <si>
    <t>Подготовка и оформление территории города на период проведения праздничных мероприятий</t>
  </si>
  <si>
    <t>2017-2019 гг.</t>
  </si>
  <si>
    <t>2017-2021 гг.</t>
  </si>
  <si>
    <t>Обустройство и содержание общественных территорий и пешеходных зон города Сертолово</t>
  </si>
  <si>
    <t>2017-2024 гг.</t>
  </si>
  <si>
    <t>2019 - 2024 гг.</t>
  </si>
  <si>
    <t>2019-2024 гг.</t>
  </si>
  <si>
    <t>2.7.</t>
  </si>
  <si>
    <t>2019-2020 гг.</t>
  </si>
  <si>
    <t>Разработка комплексной схемы организации дорожного движения на территории города Сертолово Всеволожского района Ленинградской области</t>
  </si>
  <si>
    <t>2020 г.</t>
  </si>
  <si>
    <t>2018-2021 гг.</t>
  </si>
  <si>
    <t>2020-2021 гг.</t>
  </si>
  <si>
    <t>2017-2020, 2022-2023 гг.</t>
  </si>
  <si>
    <t>2021-2022 гг.</t>
  </si>
  <si>
    <t>2018-2019, 2021 гг.</t>
  </si>
  <si>
    <t>2017-2019, 2023 гг.</t>
  </si>
  <si>
    <t>2018-2019 гг.</t>
  </si>
  <si>
    <t>2018-2023 гг.</t>
  </si>
  <si>
    <t>2019 г.,
2021 г.</t>
  </si>
  <si>
    <t>2017-2020 гг.</t>
  </si>
  <si>
    <t>2017-2023 гг.</t>
  </si>
  <si>
    <t>2018-2021,
2024 гг.</t>
  </si>
  <si>
    <t>2024 г.</t>
  </si>
  <si>
    <t>2022-2024 гг.</t>
  </si>
  <si>
    <r>
      <t>ПРИЛОЖЕНИЕ №1
к постановлению администрации
МО Сертолово
от "</t>
    </r>
    <r>
      <rPr>
        <u/>
        <sz val="12"/>
        <rFont val="Times New Roman"/>
        <family val="1"/>
        <charset val="204"/>
      </rPr>
      <t>25</t>
    </r>
    <r>
      <rPr>
        <sz val="12"/>
        <rFont val="Times New Roman"/>
        <family val="1"/>
        <charset val="204"/>
      </rPr>
      <t xml:space="preserve">" </t>
    </r>
    <r>
      <rPr>
        <u/>
        <sz val="12"/>
        <rFont val="Times New Roman"/>
        <family val="1"/>
        <charset val="204"/>
      </rPr>
      <t>февраля</t>
    </r>
    <r>
      <rPr>
        <sz val="12"/>
        <rFont val="Times New Roman"/>
        <family val="1"/>
        <charset val="204"/>
      </rPr>
      <t xml:space="preserve"> 2021 г. № </t>
    </r>
    <r>
      <rPr>
        <u/>
        <sz val="12"/>
        <rFont val="Times New Roman"/>
        <family val="1"/>
        <charset val="204"/>
      </rPr>
      <t>113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</si>
</sst>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0"/>
      <name val="Arial"/>
    </font>
    <font>
      <u/>
      <sz val="10"/>
      <color indexed="10"/>
      <name val="Arial"/>
      <family val="1"/>
      <charset val="204"/>
    </font>
    <font>
      <sz val="10"/>
      <color indexed="10"/>
      <name val="Arial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8"/>
      <name val="Times New Roman"/>
      <family val="1"/>
      <charset val="204"/>
      <scheme val="minor"/>
    </font>
    <font>
      <sz val="9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sz val="10"/>
      <name val="Times New Roman"/>
      <family val="1"/>
      <charset val="204"/>
      <scheme val="minor"/>
    </font>
    <font>
      <b/>
      <sz val="9"/>
      <name val="Times New Roman"/>
      <family val="1"/>
      <charset val="204"/>
      <scheme val="minor"/>
    </font>
    <font>
      <sz val="12"/>
      <color rgb="FFFF0000"/>
      <name val="Times New Roman"/>
      <family val="1"/>
      <charset val="204"/>
    </font>
    <font>
      <u/>
      <sz val="12"/>
      <color rgb="FFFF0000"/>
      <name val="Times New Roman"/>
      <family val="1"/>
      <charset val="204"/>
    </font>
    <font>
      <sz val="14"/>
      <name val="Times New Roman"/>
      <family val="1"/>
      <charset val="204"/>
      <scheme val="minor"/>
    </font>
    <font>
      <sz val="9"/>
      <name val="Times New Roman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3" fillId="0" borderId="0" xfId="0" applyFont="1"/>
    <xf numFmtId="0" fontId="3" fillId="0" borderId="0" xfId="0" applyFont="1"/>
    <xf numFmtId="0" fontId="4" fillId="0" borderId="0" xfId="0" applyFont="1"/>
    <xf numFmtId="0" fontId="13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2" borderId="0" xfId="0" applyFont="1" applyFill="1"/>
    <xf numFmtId="0" fontId="10" fillId="0" borderId="0" xfId="0" applyFont="1"/>
    <xf numFmtId="0" fontId="17" fillId="0" borderId="0" xfId="0" applyFont="1" applyFill="1"/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164" fontId="15" fillId="0" borderId="9" xfId="0" applyNumberFormat="1" applyFont="1" applyFill="1" applyBorder="1" applyAlignment="1">
      <alignment horizontal="center" vertical="center"/>
    </xf>
    <xf numFmtId="16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164" fontId="18" fillId="0" borderId="6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164" fontId="15" fillId="0" borderId="2" xfId="0" applyNumberFormat="1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16" fontId="15" fillId="0" borderId="7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164" fontId="18" fillId="0" borderId="2" xfId="0" applyNumberFormat="1" applyFont="1" applyFill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 wrapText="1"/>
    </xf>
    <xf numFmtId="16" fontId="15" fillId="0" borderId="7" xfId="0" quotePrefix="1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8" fillId="0" borderId="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64" fontId="18" fillId="0" borderId="6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top" wrapText="1"/>
    </xf>
    <xf numFmtId="0" fontId="15" fillId="0" borderId="7" xfId="0" quotePrefix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4" fillId="0" borderId="0" xfId="0" applyFont="1" applyFill="1"/>
    <xf numFmtId="164" fontId="18" fillId="0" borderId="1" xfId="0" applyNumberFormat="1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18" fillId="3" borderId="1" xfId="0" applyNumberFormat="1" applyFont="1" applyFill="1" applyBorder="1" applyAlignment="1">
      <alignment horizontal="center" vertical="center"/>
    </xf>
    <xf numFmtId="164" fontId="18" fillId="3" borderId="2" xfId="0" applyNumberFormat="1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164" fontId="18" fillId="3" borderId="6" xfId="0" applyNumberFormat="1" applyFont="1" applyFill="1" applyBorder="1" applyAlignment="1">
      <alignment horizontal="center" vertical="center" wrapText="1"/>
    </xf>
    <xf numFmtId="164" fontId="18" fillId="3" borderId="2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left" vertical="center" wrapText="1"/>
    </xf>
    <xf numFmtId="164" fontId="18" fillId="3" borderId="9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164" fontId="15" fillId="3" borderId="1" xfId="0" applyNumberFormat="1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vertical="center" wrapText="1"/>
    </xf>
    <xf numFmtId="164" fontId="15" fillId="3" borderId="11" xfId="0" applyNumberFormat="1" applyFont="1" applyFill="1" applyBorder="1" applyAlignment="1">
      <alignment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164" fontId="18" fillId="3" borderId="6" xfId="0" applyNumberFormat="1" applyFont="1" applyFill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left" vertical="center" wrapText="1"/>
    </xf>
    <xf numFmtId="0" fontId="18" fillId="3" borderId="11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vertical="center" wrapText="1"/>
    </xf>
    <xf numFmtId="0" fontId="18" fillId="3" borderId="4" xfId="0" applyFont="1" applyFill="1" applyBorder="1" applyAlignment="1">
      <alignment horizontal="center" vertical="center" wrapText="1"/>
    </xf>
    <xf numFmtId="164" fontId="18" fillId="3" borderId="2" xfId="0" applyNumberFormat="1" applyFont="1" applyFill="1" applyBorder="1" applyAlignment="1">
      <alignment horizontal="left" vertical="center" wrapText="1"/>
    </xf>
    <xf numFmtId="164" fontId="18" fillId="3" borderId="4" xfId="0" applyNumberFormat="1" applyFont="1" applyFill="1" applyBorder="1" applyAlignment="1">
      <alignment horizontal="center" vertical="center"/>
    </xf>
    <xf numFmtId="164" fontId="18" fillId="3" borderId="4" xfId="0" applyNumberFormat="1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5" fillId="4" borderId="2" xfId="0" applyFont="1" applyFill="1" applyBorder="1"/>
    <xf numFmtId="0" fontId="18" fillId="4" borderId="2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164" fontId="18" fillId="4" borderId="10" xfId="0" applyNumberFormat="1" applyFont="1" applyFill="1" applyBorder="1" applyAlignment="1">
      <alignment horizontal="center" vertical="center" wrapText="1"/>
    </xf>
    <xf numFmtId="164" fontId="18" fillId="4" borderId="9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vertical="center" wrapText="1"/>
    </xf>
    <xf numFmtId="164" fontId="15" fillId="4" borderId="2" xfId="0" applyNumberFormat="1" applyFont="1" applyFill="1" applyBorder="1" applyAlignment="1">
      <alignment vertical="center" wrapText="1"/>
    </xf>
    <xf numFmtId="0" fontId="15" fillId="4" borderId="1" xfId="0" applyFont="1" applyFill="1" applyBorder="1"/>
    <xf numFmtId="0" fontId="18" fillId="4" borderId="1" xfId="0" applyFont="1" applyFill="1" applyBorder="1" applyAlignment="1">
      <alignment horizontal="left" vertical="center"/>
    </xf>
    <xf numFmtId="0" fontId="15" fillId="4" borderId="5" xfId="0" applyFont="1" applyFill="1" applyBorder="1"/>
    <xf numFmtId="164" fontId="18" fillId="4" borderId="1" xfId="0" applyNumberFormat="1" applyFont="1" applyFill="1" applyBorder="1" applyAlignment="1">
      <alignment horizontal="center" vertical="center" wrapText="1"/>
    </xf>
    <xf numFmtId="164" fontId="18" fillId="4" borderId="7" xfId="0" applyNumberFormat="1" applyFont="1" applyFill="1" applyBorder="1" applyAlignment="1">
      <alignment horizontal="center" vertical="center" wrapText="1"/>
    </xf>
    <xf numFmtId="164" fontId="18" fillId="4" borderId="5" xfId="0" applyNumberFormat="1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4" xfId="0" applyFont="1" applyFill="1" applyBorder="1"/>
    <xf numFmtId="164" fontId="18" fillId="4" borderId="2" xfId="0" applyNumberFormat="1" applyFont="1" applyFill="1" applyBorder="1" applyAlignment="1">
      <alignment horizontal="center" vertical="center" wrapText="1"/>
    </xf>
    <xf numFmtId="164" fontId="18" fillId="4" borderId="3" xfId="0" applyNumberFormat="1" applyFont="1" applyFill="1" applyBorder="1" applyAlignment="1">
      <alignment horizontal="center" vertical="center" wrapText="1"/>
    </xf>
    <xf numFmtId="164" fontId="18" fillId="4" borderId="4" xfId="0" applyNumberFormat="1" applyFont="1" applyFill="1" applyBorder="1" applyAlignment="1">
      <alignment horizontal="center" vertical="center" wrapText="1"/>
    </xf>
    <xf numFmtId="164" fontId="15" fillId="4" borderId="4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center" wrapText="1"/>
    </xf>
    <xf numFmtId="164" fontId="15" fillId="4" borderId="2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16" fontId="15" fillId="0" borderId="1" xfId="0" applyNumberFormat="1" applyFont="1" applyFill="1" applyBorder="1" applyAlignment="1">
      <alignment horizontal="center" vertical="center" wrapText="1"/>
    </xf>
    <xf numFmtId="16" fontId="15" fillId="0" borderId="6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6" fillId="0" borderId="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16" fontId="15" fillId="0" borderId="1" xfId="0" quotePrefix="1" applyNumberFormat="1" applyFont="1" applyFill="1" applyBorder="1" applyAlignment="1">
      <alignment horizontal="center" vertical="center" wrapText="1"/>
    </xf>
    <xf numFmtId="16" fontId="15" fillId="0" borderId="6" xfId="0" quotePrefix="1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 macro="" textlink="">
      <xdr:nvSpPr>
        <xdr:cNvPr id="6444" name="AutoShape 1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>
          <a:spLocks/>
        </xdr:cNvSpPr>
      </xdr:nvSpPr>
      <xdr:spPr bwMode="auto">
        <a:xfrm>
          <a:off x="0" y="18002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52</xdr:row>
      <xdr:rowOff>0</xdr:rowOff>
    </xdr:to>
    <xdr:sp macro="" textlink="">
      <xdr:nvSpPr>
        <xdr:cNvPr id="6445" name="AutoShape 2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>
          <a:spLocks/>
        </xdr:cNvSpPr>
      </xdr:nvSpPr>
      <xdr:spPr bwMode="auto">
        <a:xfrm>
          <a:off x="0" y="14697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0"/>
  <sheetViews>
    <sheetView tabSelected="1" view="pageBreakPreview" topLeftCell="A5" zoomScaleNormal="100" zoomScaleSheetLayoutView="100" workbookViewId="0">
      <pane ySplit="12" topLeftCell="A44" activePane="bottomLeft" state="frozen"/>
      <selection activeCell="A5" sqref="A5"/>
      <selection pane="bottomLeft" activeCell="N5" sqref="N5:O8"/>
    </sheetView>
  </sheetViews>
  <sheetFormatPr defaultColWidth="9.140625" defaultRowHeight="12.75" x14ac:dyDescent="0.2"/>
  <cols>
    <col min="1" max="1" width="4.42578125" style="3" customWidth="1"/>
    <col min="2" max="2" width="25.42578125" style="3" customWidth="1"/>
    <col min="3" max="3" width="13.42578125" style="3" customWidth="1"/>
    <col min="4" max="4" width="10.7109375" style="3" customWidth="1"/>
    <col min="5" max="5" width="9.42578125" style="3" customWidth="1"/>
    <col min="6" max="6" width="8.85546875" style="3" customWidth="1"/>
    <col min="7" max="7" width="8.42578125" style="3" customWidth="1"/>
    <col min="8" max="10" width="8.7109375" style="12" customWidth="1"/>
    <col min="11" max="11" width="8.28515625" style="12" customWidth="1"/>
    <col min="12" max="12" width="9" style="12" customWidth="1"/>
    <col min="13" max="13" width="8.85546875" style="12" customWidth="1"/>
    <col min="14" max="14" width="13.42578125" style="3" customWidth="1"/>
    <col min="15" max="15" width="26.7109375" style="3" customWidth="1"/>
    <col min="16" max="16" width="9.140625" style="3"/>
    <col min="17" max="17" width="9.42578125" style="3" bestFit="1" customWidth="1"/>
    <col min="18" max="16384" width="9.140625" style="3"/>
  </cols>
  <sheetData>
    <row r="1" spans="1:16" ht="15.75" hidden="1" x14ac:dyDescent="0.25">
      <c r="A1" s="1"/>
      <c r="B1" s="1"/>
      <c r="C1" s="1"/>
      <c r="D1" s="1"/>
      <c r="E1" s="1"/>
      <c r="F1" s="1"/>
      <c r="G1" s="148" t="s">
        <v>64</v>
      </c>
      <c r="H1" s="148"/>
      <c r="I1" s="148"/>
      <c r="J1" s="148"/>
      <c r="K1" s="148"/>
      <c r="L1" s="148"/>
      <c r="M1" s="148"/>
      <c r="N1" s="148"/>
      <c r="O1" s="148"/>
      <c r="P1" s="2"/>
    </row>
    <row r="2" spans="1:16" ht="14.25" hidden="1" customHeight="1" x14ac:dyDescent="0.25">
      <c r="A2" s="1"/>
      <c r="B2" s="1"/>
      <c r="C2" s="1"/>
      <c r="D2" s="1"/>
      <c r="E2" s="1"/>
      <c r="F2" s="1"/>
      <c r="G2" s="148" t="s">
        <v>62</v>
      </c>
      <c r="H2" s="148"/>
      <c r="I2" s="148"/>
      <c r="J2" s="148"/>
      <c r="K2" s="148"/>
      <c r="L2" s="148"/>
      <c r="M2" s="148"/>
      <c r="N2" s="148"/>
      <c r="O2" s="148"/>
      <c r="P2" s="2"/>
    </row>
    <row r="3" spans="1:16" ht="14.25" hidden="1" customHeight="1" x14ac:dyDescent="0.25">
      <c r="A3" s="1"/>
      <c r="B3" s="1"/>
      <c r="C3" s="1"/>
      <c r="D3" s="1"/>
      <c r="E3" s="1"/>
      <c r="F3" s="1"/>
      <c r="G3" s="148" t="s">
        <v>63</v>
      </c>
      <c r="H3" s="148"/>
      <c r="I3" s="148"/>
      <c r="J3" s="148"/>
      <c r="K3" s="148"/>
      <c r="L3" s="148"/>
      <c r="M3" s="148"/>
      <c r="N3" s="148"/>
      <c r="O3" s="148"/>
      <c r="P3" s="2"/>
    </row>
    <row r="4" spans="1:16" ht="15" hidden="1" customHeight="1" x14ac:dyDescent="0.25">
      <c r="A4" s="1"/>
      <c r="B4" s="1"/>
      <c r="C4" s="1"/>
      <c r="D4" s="1"/>
      <c r="E4" s="1"/>
      <c r="F4" s="4"/>
      <c r="G4" s="148" t="s">
        <v>106</v>
      </c>
      <c r="H4" s="149"/>
      <c r="I4" s="149"/>
      <c r="J4" s="149"/>
      <c r="K4" s="149"/>
      <c r="L4" s="149"/>
      <c r="M4" s="149"/>
      <c r="N4" s="149"/>
      <c r="O4" s="149"/>
      <c r="P4" s="5"/>
    </row>
    <row r="5" spans="1:16" ht="15" customHeight="1" x14ac:dyDescent="0.25">
      <c r="A5" s="1"/>
      <c r="B5" s="1"/>
      <c r="C5" s="1"/>
      <c r="D5" s="1"/>
      <c r="E5" s="1"/>
      <c r="F5" s="4"/>
      <c r="G5" s="132"/>
      <c r="H5" s="133"/>
      <c r="I5" s="133"/>
      <c r="J5" s="133"/>
      <c r="K5" s="133"/>
      <c r="L5" s="133"/>
      <c r="M5" s="133"/>
      <c r="N5" s="169" t="s">
        <v>166</v>
      </c>
      <c r="O5" s="170"/>
      <c r="P5" s="5"/>
    </row>
    <row r="6" spans="1:16" ht="15" customHeight="1" x14ac:dyDescent="0.25">
      <c r="A6" s="1"/>
      <c r="B6" s="1"/>
      <c r="C6" s="1"/>
      <c r="D6" s="1"/>
      <c r="E6" s="1"/>
      <c r="F6" s="4"/>
      <c r="G6" s="132"/>
      <c r="H6" s="133"/>
      <c r="I6" s="133"/>
      <c r="J6" s="133"/>
      <c r="K6" s="133"/>
      <c r="L6" s="133"/>
      <c r="M6" s="133"/>
      <c r="N6" s="170"/>
      <c r="O6" s="170"/>
      <c r="P6" s="5"/>
    </row>
    <row r="7" spans="1:16" ht="15" customHeight="1" x14ac:dyDescent="0.25">
      <c r="A7" s="1"/>
      <c r="B7" s="1"/>
      <c r="C7" s="1"/>
      <c r="D7" s="1"/>
      <c r="E7" s="1"/>
      <c r="F7" s="4"/>
      <c r="G7" s="132"/>
      <c r="H7" s="133"/>
      <c r="I7" s="133"/>
      <c r="J7" s="133"/>
      <c r="K7" s="133"/>
      <c r="L7" s="133"/>
      <c r="M7" s="133"/>
      <c r="N7" s="170"/>
      <c r="O7" s="170"/>
      <c r="P7" s="5"/>
    </row>
    <row r="8" spans="1:16" ht="15" customHeight="1" x14ac:dyDescent="0.25">
      <c r="A8" s="1"/>
      <c r="B8" s="1"/>
      <c r="C8" s="1"/>
      <c r="D8" s="1"/>
      <c r="E8" s="1"/>
      <c r="F8" s="4"/>
      <c r="G8" s="132"/>
      <c r="H8" s="133"/>
      <c r="I8" s="133"/>
      <c r="J8" s="133"/>
      <c r="K8" s="133"/>
      <c r="L8" s="133"/>
      <c r="M8" s="133"/>
      <c r="N8" s="170"/>
      <c r="O8" s="170"/>
      <c r="P8" s="5"/>
    </row>
    <row r="9" spans="1:16" ht="15" customHeight="1" x14ac:dyDescent="0.25">
      <c r="A9" s="6"/>
      <c r="B9" s="6"/>
      <c r="C9" s="6"/>
      <c r="D9" s="6"/>
      <c r="E9" s="6"/>
      <c r="F9" s="7"/>
      <c r="G9" s="8"/>
      <c r="H9" s="9"/>
      <c r="I9" s="9"/>
      <c r="J9" s="9"/>
      <c r="K9" s="9"/>
      <c r="L9" s="9"/>
      <c r="M9" s="9"/>
      <c r="N9" s="9"/>
      <c r="O9" s="9"/>
      <c r="P9" s="5"/>
    </row>
    <row r="10" spans="1:16" s="6" customFormat="1" ht="15.75" customHeight="1" x14ac:dyDescent="0.3">
      <c r="A10" s="150" t="s">
        <v>5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</row>
    <row r="11" spans="1:16" s="6" customFormat="1" ht="16.5" customHeight="1" x14ac:dyDescent="0.3">
      <c r="A11" s="150" t="s">
        <v>80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</row>
    <row r="12" spans="1:16" ht="15" customHeight="1" x14ac:dyDescent="0.3">
      <c r="A12" s="150" t="s">
        <v>65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</row>
    <row r="13" spans="1:16" ht="15.75" customHeight="1" x14ac:dyDescent="0.3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</row>
    <row r="14" spans="1:16" ht="14.25" customHeight="1" x14ac:dyDescent="0.2">
      <c r="A14" s="158" t="s">
        <v>0</v>
      </c>
      <c r="B14" s="153" t="s">
        <v>1</v>
      </c>
      <c r="C14" s="152" t="s">
        <v>21</v>
      </c>
      <c r="D14" s="151" t="s">
        <v>20</v>
      </c>
      <c r="E14" s="152" t="s">
        <v>23</v>
      </c>
      <c r="F14" s="151" t="s">
        <v>2</v>
      </c>
      <c r="G14" s="154"/>
      <c r="H14" s="154"/>
      <c r="I14" s="154"/>
      <c r="J14" s="154"/>
      <c r="K14" s="154"/>
      <c r="L14" s="154"/>
      <c r="M14" s="155"/>
      <c r="N14" s="151" t="s">
        <v>3</v>
      </c>
      <c r="O14" s="156" t="s">
        <v>4</v>
      </c>
      <c r="P14" s="14"/>
    </row>
    <row r="15" spans="1:16" ht="19.5" customHeight="1" x14ac:dyDescent="0.2">
      <c r="A15" s="158"/>
      <c r="B15" s="153"/>
      <c r="C15" s="152"/>
      <c r="D15" s="151"/>
      <c r="E15" s="152"/>
      <c r="F15" s="15">
        <v>2017</v>
      </c>
      <c r="G15" s="16">
        <v>2018</v>
      </c>
      <c r="H15" s="16">
        <v>2019</v>
      </c>
      <c r="I15" s="17">
        <v>2020</v>
      </c>
      <c r="J15" s="17">
        <v>2021</v>
      </c>
      <c r="K15" s="17">
        <v>2022</v>
      </c>
      <c r="L15" s="17">
        <v>2023</v>
      </c>
      <c r="M15" s="17">
        <v>2024</v>
      </c>
      <c r="N15" s="151"/>
      <c r="O15" s="157"/>
      <c r="P15" s="14"/>
    </row>
    <row r="16" spans="1:16" x14ac:dyDescent="0.2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4"/>
    </row>
    <row r="17" spans="1:21" ht="16.5" customHeight="1" x14ac:dyDescent="0.2">
      <c r="A17" s="163" t="s">
        <v>107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5"/>
      <c r="P17" s="14"/>
    </row>
    <row r="18" spans="1:21" ht="30" customHeight="1" x14ac:dyDescent="0.2">
      <c r="A18" s="144" t="s">
        <v>6</v>
      </c>
      <c r="B18" s="142" t="s">
        <v>73</v>
      </c>
      <c r="C18" s="130" t="s">
        <v>24</v>
      </c>
      <c r="D18" s="20" t="s">
        <v>143</v>
      </c>
      <c r="E18" s="21">
        <f>F18+G18+H18+I18+K18+J18+L18+M18</f>
        <v>2025.7000000000003</v>
      </c>
      <c r="F18" s="22">
        <v>1154.2</v>
      </c>
      <c r="G18" s="23">
        <f>300-41.9</f>
        <v>258.10000000000002</v>
      </c>
      <c r="H18" s="23">
        <v>280</v>
      </c>
      <c r="I18" s="24">
        <v>70</v>
      </c>
      <c r="J18" s="24">
        <f>221.1+42.3</f>
        <v>263.39999999999998</v>
      </c>
      <c r="K18" s="24">
        <v>0</v>
      </c>
      <c r="L18" s="24">
        <v>0</v>
      </c>
      <c r="M18" s="24">
        <v>0</v>
      </c>
      <c r="N18" s="144" t="s">
        <v>124</v>
      </c>
      <c r="O18" s="142" t="s">
        <v>74</v>
      </c>
      <c r="P18" s="14"/>
      <c r="Q18" s="139"/>
      <c r="R18" s="139"/>
      <c r="S18" s="139"/>
      <c r="T18" s="139"/>
    </row>
    <row r="19" spans="1:21" ht="18" customHeight="1" x14ac:dyDescent="0.2">
      <c r="A19" s="145"/>
      <c r="B19" s="143"/>
      <c r="C19" s="130" t="s">
        <v>91</v>
      </c>
      <c r="D19" s="20" t="s">
        <v>153</v>
      </c>
      <c r="E19" s="21">
        <f>SUM(F19:M19)</f>
        <v>5635.1</v>
      </c>
      <c r="F19" s="22">
        <v>0</v>
      </c>
      <c r="G19" s="23">
        <v>0</v>
      </c>
      <c r="H19" s="23">
        <v>0</v>
      </c>
      <c r="I19" s="24">
        <v>630</v>
      </c>
      <c r="J19" s="24">
        <f>4200+805.1</f>
        <v>5005.1000000000004</v>
      </c>
      <c r="K19" s="24">
        <v>0</v>
      </c>
      <c r="L19" s="24">
        <v>0</v>
      </c>
      <c r="M19" s="24">
        <v>0</v>
      </c>
      <c r="N19" s="145"/>
      <c r="O19" s="143"/>
      <c r="P19" s="14"/>
      <c r="Q19" s="71"/>
      <c r="R19" s="71"/>
      <c r="S19" s="71"/>
      <c r="T19" s="71"/>
    </row>
    <row r="20" spans="1:21" ht="38.25" customHeight="1" x14ac:dyDescent="0.2">
      <c r="A20" s="18" t="s">
        <v>7</v>
      </c>
      <c r="B20" s="131" t="s">
        <v>79</v>
      </c>
      <c r="C20" s="130" t="s">
        <v>24</v>
      </c>
      <c r="D20" s="20" t="s">
        <v>154</v>
      </c>
      <c r="E20" s="21">
        <f>F20+G20+H20+I20+K20+J20+L20+M20</f>
        <v>3804.7999999999997</v>
      </c>
      <c r="F20" s="22">
        <v>623.1</v>
      </c>
      <c r="G20" s="23">
        <v>415.9</v>
      </c>
      <c r="H20" s="23">
        <f>256+475+1037</f>
        <v>1768</v>
      </c>
      <c r="I20" s="24">
        <v>100</v>
      </c>
      <c r="J20" s="24">
        <v>0</v>
      </c>
      <c r="K20" s="24">
        <v>440.1</v>
      </c>
      <c r="L20" s="24">
        <v>457.7</v>
      </c>
      <c r="M20" s="24">
        <v>0</v>
      </c>
      <c r="N20" s="25" t="s">
        <v>124</v>
      </c>
      <c r="O20" s="26" t="s">
        <v>77</v>
      </c>
      <c r="P20" s="14"/>
      <c r="Q20" s="139"/>
      <c r="R20" s="139"/>
      <c r="S20" s="139"/>
      <c r="T20" s="139"/>
    </row>
    <row r="21" spans="1:21" ht="24" customHeight="1" x14ac:dyDescent="0.2">
      <c r="A21" s="144" t="s">
        <v>72</v>
      </c>
      <c r="B21" s="146" t="s">
        <v>81</v>
      </c>
      <c r="C21" s="18" t="s">
        <v>24</v>
      </c>
      <c r="D21" s="30" t="s">
        <v>145</v>
      </c>
      <c r="E21" s="21">
        <f>SUM(F21:M21)</f>
        <v>31289.200000000001</v>
      </c>
      <c r="F21" s="22">
        <v>4076.3</v>
      </c>
      <c r="G21" s="27">
        <f>2674.4</f>
        <v>2674.4</v>
      </c>
      <c r="H21" s="27">
        <f>2910.3+298+487.4-7.5</f>
        <v>3688.2000000000003</v>
      </c>
      <c r="I21" s="24">
        <f>2917+590</f>
        <v>3507</v>
      </c>
      <c r="J21" s="24">
        <v>3604</v>
      </c>
      <c r="K21" s="24">
        <f>4372.1</f>
        <v>4372.1000000000004</v>
      </c>
      <c r="L21" s="24">
        <v>4547</v>
      </c>
      <c r="M21" s="24">
        <v>4820.2</v>
      </c>
      <c r="N21" s="144" t="s">
        <v>124</v>
      </c>
      <c r="O21" s="142" t="s">
        <v>78</v>
      </c>
      <c r="P21" s="14"/>
      <c r="Q21" s="10"/>
      <c r="R21" s="10"/>
      <c r="S21" s="10"/>
      <c r="T21" s="10"/>
    </row>
    <row r="22" spans="1:21" ht="21" customHeight="1" x14ac:dyDescent="0.2">
      <c r="A22" s="145"/>
      <c r="B22" s="147"/>
      <c r="C22" s="18" t="s">
        <v>91</v>
      </c>
      <c r="D22" s="30" t="s">
        <v>155</v>
      </c>
      <c r="E22" s="21">
        <f>SUM(F22:M22)</f>
        <v>2451.9</v>
      </c>
      <c r="F22" s="22">
        <v>0</v>
      </c>
      <c r="G22" s="27">
        <v>0</v>
      </c>
      <c r="H22" s="27">
        <v>0</v>
      </c>
      <c r="I22" s="24">
        <v>0</v>
      </c>
      <c r="J22" s="24">
        <v>1459.2</v>
      </c>
      <c r="K22" s="24">
        <v>992.7</v>
      </c>
      <c r="L22" s="24">
        <v>0</v>
      </c>
      <c r="M22" s="24">
        <v>0</v>
      </c>
      <c r="N22" s="145"/>
      <c r="O22" s="143"/>
      <c r="P22" s="14"/>
      <c r="Q22" s="72"/>
      <c r="R22" s="72"/>
      <c r="S22" s="72"/>
      <c r="T22" s="72"/>
    </row>
    <row r="23" spans="1:21" ht="27" customHeight="1" x14ac:dyDescent="0.2">
      <c r="A23" s="144" t="s">
        <v>75</v>
      </c>
      <c r="B23" s="142" t="s">
        <v>135</v>
      </c>
      <c r="C23" s="130" t="s">
        <v>24</v>
      </c>
      <c r="D23" s="20" t="s">
        <v>145</v>
      </c>
      <c r="E23" s="21">
        <f>F23+G23+H23+I23+K23+J23+L23+M23</f>
        <v>22191</v>
      </c>
      <c r="F23" s="22">
        <v>1716.8</v>
      </c>
      <c r="G23" s="23">
        <f>2264.5+312.6+41.9-60-57+150.4</f>
        <v>2652.4</v>
      </c>
      <c r="H23" s="23">
        <f>1339.3+654.8+343+3500-122.6-21-182.9</f>
        <v>5510.6</v>
      </c>
      <c r="I23" s="24">
        <f>1419.4+237.9+70+311.5-70-184.7</f>
        <v>1784.1000000000001</v>
      </c>
      <c r="J23" s="24">
        <f>2050.7+314.3+42.1+578.9-42.3</f>
        <v>2943.7</v>
      </c>
      <c r="K23" s="24">
        <f>2325.6+667.5</f>
        <v>2993.1</v>
      </c>
      <c r="L23" s="23">
        <v>3112.8</v>
      </c>
      <c r="M23" s="23">
        <v>1477.5</v>
      </c>
      <c r="N23" s="142" t="s">
        <v>124</v>
      </c>
      <c r="O23" s="142" t="s">
        <v>136</v>
      </c>
      <c r="P23" s="14"/>
      <c r="Q23" s="10"/>
      <c r="R23" s="10"/>
      <c r="S23" s="10"/>
      <c r="T23" s="10"/>
    </row>
    <row r="24" spans="1:21" ht="25.5" customHeight="1" x14ac:dyDescent="0.2">
      <c r="A24" s="145"/>
      <c r="B24" s="143"/>
      <c r="C24" s="18" t="s">
        <v>91</v>
      </c>
      <c r="D24" s="20" t="s">
        <v>156</v>
      </c>
      <c r="E24" s="21">
        <f t="shared" ref="E24:E30" si="0">SUM(F24:K24)</f>
        <v>19909.400000000001</v>
      </c>
      <c r="F24" s="22">
        <v>0</v>
      </c>
      <c r="G24" s="23">
        <v>2650</v>
      </c>
      <c r="H24" s="23">
        <v>3086.5</v>
      </c>
      <c r="I24" s="24">
        <v>0</v>
      </c>
      <c r="J24" s="24">
        <f>3178+11000-805.1+800</f>
        <v>14172.9</v>
      </c>
      <c r="K24" s="24">
        <v>0</v>
      </c>
      <c r="L24" s="28">
        <v>0</v>
      </c>
      <c r="M24" s="28">
        <v>0</v>
      </c>
      <c r="N24" s="143"/>
      <c r="O24" s="143"/>
      <c r="P24" s="14"/>
      <c r="Q24" s="10"/>
      <c r="R24" s="10"/>
      <c r="S24" s="10"/>
      <c r="T24" s="10"/>
    </row>
    <row r="25" spans="1:21" ht="111.75" customHeight="1" x14ac:dyDescent="0.2">
      <c r="A25" s="29" t="s">
        <v>89</v>
      </c>
      <c r="B25" s="30" t="s">
        <v>131</v>
      </c>
      <c r="C25" s="18" t="s">
        <v>24</v>
      </c>
      <c r="D25" s="20" t="s">
        <v>103</v>
      </c>
      <c r="E25" s="21">
        <f t="shared" si="0"/>
        <v>48357.2</v>
      </c>
      <c r="F25" s="22">
        <v>18080.7</v>
      </c>
      <c r="G25" s="23">
        <f>100+29974+5+100+97.5</f>
        <v>30276.5</v>
      </c>
      <c r="H25" s="23">
        <v>0</v>
      </c>
      <c r="I25" s="23">
        <v>0</v>
      </c>
      <c r="J25" s="23">
        <v>0</v>
      </c>
      <c r="K25" s="23">
        <v>0</v>
      </c>
      <c r="L25" s="24">
        <v>0</v>
      </c>
      <c r="M25" s="24">
        <v>0</v>
      </c>
      <c r="N25" s="25" t="s">
        <v>124</v>
      </c>
      <c r="O25" s="26" t="s">
        <v>78</v>
      </c>
      <c r="P25" s="14"/>
      <c r="Q25" s="141"/>
      <c r="R25" s="141"/>
      <c r="S25" s="141"/>
      <c r="T25" s="141"/>
      <c r="U25" s="141"/>
    </row>
    <row r="26" spans="1:21" ht="75" customHeight="1" x14ac:dyDescent="0.2">
      <c r="A26" s="29" t="s">
        <v>90</v>
      </c>
      <c r="B26" s="30" t="s">
        <v>132</v>
      </c>
      <c r="C26" s="18" t="s">
        <v>24</v>
      </c>
      <c r="D26" s="20" t="s">
        <v>103</v>
      </c>
      <c r="E26" s="21">
        <f t="shared" si="0"/>
        <v>2863.5</v>
      </c>
      <c r="F26" s="22">
        <v>1963.9</v>
      </c>
      <c r="G26" s="23">
        <v>899.6</v>
      </c>
      <c r="H26" s="23">
        <v>0</v>
      </c>
      <c r="I26" s="23">
        <v>0</v>
      </c>
      <c r="J26" s="23">
        <v>0</v>
      </c>
      <c r="K26" s="23">
        <v>0</v>
      </c>
      <c r="L26" s="24">
        <v>0</v>
      </c>
      <c r="M26" s="24">
        <v>0</v>
      </c>
      <c r="N26" s="25" t="s">
        <v>124</v>
      </c>
      <c r="O26" s="26" t="s">
        <v>78</v>
      </c>
      <c r="P26" s="14"/>
      <c r="Q26" s="11"/>
      <c r="R26" s="11"/>
      <c r="S26" s="11"/>
      <c r="T26" s="11"/>
      <c r="U26" s="11"/>
    </row>
    <row r="27" spans="1:21" ht="48.75" customHeight="1" x14ac:dyDescent="0.2">
      <c r="A27" s="29" t="s">
        <v>98</v>
      </c>
      <c r="B27" s="30" t="s">
        <v>133</v>
      </c>
      <c r="C27" s="18" t="s">
        <v>24</v>
      </c>
      <c r="D27" s="20" t="s">
        <v>76</v>
      </c>
      <c r="E27" s="21">
        <f t="shared" si="0"/>
        <v>39</v>
      </c>
      <c r="F27" s="22">
        <v>39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4">
        <v>0</v>
      </c>
      <c r="M27" s="24">
        <v>0</v>
      </c>
      <c r="N27" s="25" t="s">
        <v>124</v>
      </c>
      <c r="O27" s="26" t="s">
        <v>78</v>
      </c>
      <c r="P27" s="14"/>
      <c r="Q27" s="136"/>
      <c r="R27" s="137"/>
      <c r="S27" s="137"/>
      <c r="T27" s="137"/>
      <c r="U27" s="137"/>
    </row>
    <row r="28" spans="1:21" ht="51" customHeight="1" x14ac:dyDescent="0.2">
      <c r="A28" s="29" t="s">
        <v>99</v>
      </c>
      <c r="B28" s="30" t="s">
        <v>134</v>
      </c>
      <c r="C28" s="18" t="s">
        <v>24</v>
      </c>
      <c r="D28" s="20" t="s">
        <v>76</v>
      </c>
      <c r="E28" s="21">
        <f t="shared" si="0"/>
        <v>37</v>
      </c>
      <c r="F28" s="22">
        <v>37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4">
        <v>0</v>
      </c>
      <c r="M28" s="24">
        <v>0</v>
      </c>
      <c r="N28" s="25" t="s">
        <v>124</v>
      </c>
      <c r="O28" s="26" t="s">
        <v>78</v>
      </c>
      <c r="P28" s="14"/>
    </row>
    <row r="29" spans="1:21" ht="23.25" customHeight="1" x14ac:dyDescent="0.2">
      <c r="A29" s="161" t="s">
        <v>123</v>
      </c>
      <c r="B29" s="142" t="s">
        <v>128</v>
      </c>
      <c r="C29" s="18" t="s">
        <v>24</v>
      </c>
      <c r="D29" s="20" t="s">
        <v>104</v>
      </c>
      <c r="E29" s="31">
        <f t="shared" si="0"/>
        <v>30</v>
      </c>
      <c r="F29" s="22">
        <v>0</v>
      </c>
      <c r="G29" s="23">
        <v>30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142" t="s">
        <v>124</v>
      </c>
      <c r="O29" s="142" t="s">
        <v>78</v>
      </c>
      <c r="P29" s="14"/>
    </row>
    <row r="30" spans="1:21" ht="27" customHeight="1" x14ac:dyDescent="0.2">
      <c r="A30" s="162"/>
      <c r="B30" s="143"/>
      <c r="C30" s="18" t="s">
        <v>91</v>
      </c>
      <c r="D30" s="20" t="s">
        <v>104</v>
      </c>
      <c r="E30" s="31">
        <f t="shared" si="0"/>
        <v>270</v>
      </c>
      <c r="F30" s="22">
        <v>0</v>
      </c>
      <c r="G30" s="23">
        <v>270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143"/>
      <c r="O30" s="143"/>
      <c r="P30" s="14"/>
    </row>
    <row r="31" spans="1:21" ht="25.5" customHeight="1" x14ac:dyDescent="0.2">
      <c r="A31" s="161" t="s">
        <v>126</v>
      </c>
      <c r="B31" s="142" t="s">
        <v>127</v>
      </c>
      <c r="C31" s="18" t="s">
        <v>24</v>
      </c>
      <c r="D31" s="20" t="s">
        <v>104</v>
      </c>
      <c r="E31" s="31">
        <f>SUM(F31:K31)</f>
        <v>30</v>
      </c>
      <c r="F31" s="22">
        <v>0</v>
      </c>
      <c r="G31" s="23">
        <v>30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142" t="s">
        <v>124</v>
      </c>
      <c r="O31" s="142" t="s">
        <v>78</v>
      </c>
      <c r="P31" s="14"/>
    </row>
    <row r="32" spans="1:21" ht="24" customHeight="1" x14ac:dyDescent="0.2">
      <c r="A32" s="162"/>
      <c r="B32" s="143"/>
      <c r="C32" s="18" t="s">
        <v>91</v>
      </c>
      <c r="D32" s="20" t="s">
        <v>104</v>
      </c>
      <c r="E32" s="31">
        <f>SUM(F32:K32)</f>
        <v>270</v>
      </c>
      <c r="F32" s="22">
        <v>0</v>
      </c>
      <c r="G32" s="23">
        <v>270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143"/>
      <c r="O32" s="143"/>
      <c r="P32" s="14"/>
    </row>
    <row r="33" spans="1:21" ht="25.5" customHeight="1" x14ac:dyDescent="0.2">
      <c r="A33" s="184" t="s">
        <v>137</v>
      </c>
      <c r="B33" s="142" t="s">
        <v>144</v>
      </c>
      <c r="C33" s="18" t="s">
        <v>24</v>
      </c>
      <c r="D33" s="32" t="s">
        <v>146</v>
      </c>
      <c r="E33" s="31">
        <f>SUM(F33:M33)</f>
        <v>25919.399999999998</v>
      </c>
      <c r="F33" s="22">
        <v>0</v>
      </c>
      <c r="G33" s="23">
        <v>0</v>
      </c>
      <c r="H33" s="23">
        <f>300+4800+4000+2000+75+239.4+410.2+974.9+1430.3+337</f>
        <v>14566.8</v>
      </c>
      <c r="I33" s="23">
        <f>309-119+6128.2+175.3+30+44.3</f>
        <v>6567.8</v>
      </c>
      <c r="J33" s="23">
        <f>3697.6+305.7</f>
        <v>4003.2999999999997</v>
      </c>
      <c r="K33" s="23">
        <v>205.3</v>
      </c>
      <c r="L33" s="33">
        <v>213.5</v>
      </c>
      <c r="M33" s="33">
        <v>362.7</v>
      </c>
      <c r="N33" s="144" t="s">
        <v>124</v>
      </c>
      <c r="O33" s="142" t="s">
        <v>78</v>
      </c>
      <c r="P33" s="14"/>
    </row>
    <row r="34" spans="1:21" ht="23.25" customHeight="1" x14ac:dyDescent="0.2">
      <c r="A34" s="185"/>
      <c r="B34" s="143"/>
      <c r="C34" s="18" t="s">
        <v>91</v>
      </c>
      <c r="D34" s="32" t="s">
        <v>151</v>
      </c>
      <c r="E34" s="31">
        <f>SUM(F34:M34)</f>
        <v>7069</v>
      </c>
      <c r="F34" s="22">
        <v>0</v>
      </c>
      <c r="G34" s="23">
        <v>0</v>
      </c>
      <c r="H34" s="23">
        <v>0</v>
      </c>
      <c r="I34" s="23">
        <v>7069</v>
      </c>
      <c r="J34" s="23">
        <v>0</v>
      </c>
      <c r="K34" s="23">
        <v>0</v>
      </c>
      <c r="L34" s="33">
        <v>0</v>
      </c>
      <c r="M34" s="33">
        <v>0</v>
      </c>
      <c r="N34" s="145"/>
      <c r="O34" s="143"/>
      <c r="P34" s="14"/>
    </row>
    <row r="35" spans="1:21" ht="14.25" customHeight="1" x14ac:dyDescent="0.2">
      <c r="A35" s="18"/>
      <c r="B35" s="34" t="s">
        <v>52</v>
      </c>
      <c r="C35" s="18"/>
      <c r="D35" s="18"/>
      <c r="E35" s="31">
        <f t="shared" ref="E35:M35" si="1">SUM(E18:E34)</f>
        <v>172192.19999999998</v>
      </c>
      <c r="F35" s="21">
        <f t="shared" si="1"/>
        <v>27691.000000000004</v>
      </c>
      <c r="G35" s="21">
        <f t="shared" si="1"/>
        <v>40426.9</v>
      </c>
      <c r="H35" s="21">
        <f t="shared" si="1"/>
        <v>28900.1</v>
      </c>
      <c r="I35" s="21">
        <f t="shared" si="1"/>
        <v>19727.900000000001</v>
      </c>
      <c r="J35" s="21">
        <f t="shared" si="1"/>
        <v>31451.600000000002</v>
      </c>
      <c r="K35" s="21">
        <f t="shared" si="1"/>
        <v>9003.2999999999993</v>
      </c>
      <c r="L35" s="21">
        <f t="shared" si="1"/>
        <v>8331</v>
      </c>
      <c r="M35" s="21">
        <f t="shared" si="1"/>
        <v>6660.4</v>
      </c>
      <c r="N35" s="46"/>
      <c r="O35" s="35"/>
      <c r="P35" s="14"/>
    </row>
    <row r="36" spans="1:21" ht="15.75" customHeight="1" x14ac:dyDescent="0.2">
      <c r="A36" s="18"/>
      <c r="B36" s="34" t="s">
        <v>29</v>
      </c>
      <c r="C36" s="18"/>
      <c r="D36" s="18"/>
      <c r="E36" s="21">
        <f>SUM(F36:M36)</f>
        <v>136586.79999999999</v>
      </c>
      <c r="F36" s="21">
        <f>F18+F20+F21+F23+F25+F26+F28++F29+F27</f>
        <v>27691.000000000004</v>
      </c>
      <c r="G36" s="21">
        <f>G18+G20+G21+G23+G25+G26+G28++G29+G27+G31</f>
        <v>37236.9</v>
      </c>
      <c r="H36" s="21">
        <f>H18+H20+H21+H23+H25+H26+H28+H33+H29+H27</f>
        <v>25813.599999999999</v>
      </c>
      <c r="I36" s="21">
        <f>I18+I20+I21+I23+I25+I26+I28+I33+I29+I27</f>
        <v>12028.900000000001</v>
      </c>
      <c r="J36" s="21">
        <f>J18+J20+J21+J23+J25+J26+J28+J33+J29+J27</f>
        <v>10814.4</v>
      </c>
      <c r="K36" s="21">
        <f>K18+K20+K21+K23+K25+K26+K28+K33+K29+K27</f>
        <v>8010.6000000000013</v>
      </c>
      <c r="L36" s="21">
        <f>L35</f>
        <v>8331</v>
      </c>
      <c r="M36" s="21">
        <f>M35</f>
        <v>6660.4</v>
      </c>
      <c r="N36" s="46"/>
      <c r="O36" s="36"/>
      <c r="P36" s="14"/>
    </row>
    <row r="37" spans="1:21" ht="15.75" customHeight="1" x14ac:dyDescent="0.2">
      <c r="A37" s="18"/>
      <c r="B37" s="34" t="s">
        <v>91</v>
      </c>
      <c r="C37" s="18"/>
      <c r="D37" s="18"/>
      <c r="E37" s="21">
        <f>SUM(F37:M37)</f>
        <v>35605.399999999994</v>
      </c>
      <c r="F37" s="21">
        <f>F30+F24</f>
        <v>0</v>
      </c>
      <c r="G37" s="21">
        <f>G32+G30+G24</f>
        <v>3190</v>
      </c>
      <c r="H37" s="21">
        <f>H30+H24</f>
        <v>3086.5</v>
      </c>
      <c r="I37" s="21">
        <f>I30+I24+I19+I34</f>
        <v>7699</v>
      </c>
      <c r="J37" s="21">
        <f>J30+J24+J19+J22</f>
        <v>20637.2</v>
      </c>
      <c r="K37" s="21">
        <f>K30+K24+K19+K22</f>
        <v>992.7</v>
      </c>
      <c r="L37" s="21">
        <f>L30+L24+L19+L22</f>
        <v>0</v>
      </c>
      <c r="M37" s="21">
        <f>M30+M24+M19+M22</f>
        <v>0</v>
      </c>
      <c r="N37" s="46"/>
      <c r="O37" s="36"/>
      <c r="P37" s="14"/>
    </row>
    <row r="38" spans="1:21" ht="16.5" customHeight="1" x14ac:dyDescent="0.2">
      <c r="A38" s="163" t="s">
        <v>108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5"/>
      <c r="P38" s="14" t="s">
        <v>48</v>
      </c>
      <c r="Q38" s="138"/>
      <c r="R38" s="139"/>
      <c r="S38" s="139"/>
      <c r="T38" s="139"/>
      <c r="U38" s="139"/>
    </row>
    <row r="39" spans="1:21" ht="52.5" customHeight="1" x14ac:dyDescent="0.2">
      <c r="A39" s="18" t="s">
        <v>8</v>
      </c>
      <c r="B39" s="26" t="s">
        <v>82</v>
      </c>
      <c r="C39" s="18" t="s">
        <v>24</v>
      </c>
      <c r="D39" s="20" t="s">
        <v>145</v>
      </c>
      <c r="E39" s="21">
        <f>F39+G39+H39+I39+K39+J39+L39+M39</f>
        <v>30728.1</v>
      </c>
      <c r="F39" s="22">
        <v>1876.3</v>
      </c>
      <c r="G39" s="23">
        <f>2450.6+255+192+45.7</f>
        <v>2943.2999999999997</v>
      </c>
      <c r="H39" s="23">
        <f>6660.2-51.5-12.2</f>
        <v>6596.5</v>
      </c>
      <c r="I39" s="23">
        <f>2800+867.9-82.1</f>
        <v>3585.8</v>
      </c>
      <c r="J39" s="23">
        <v>5354.2</v>
      </c>
      <c r="K39" s="23">
        <v>3963.3</v>
      </c>
      <c r="L39" s="23">
        <v>4121.8</v>
      </c>
      <c r="M39" s="23">
        <v>2286.9</v>
      </c>
      <c r="N39" s="26" t="s">
        <v>59</v>
      </c>
      <c r="O39" s="26" t="s">
        <v>40</v>
      </c>
      <c r="P39" s="14"/>
    </row>
    <row r="40" spans="1:21" ht="61.5" customHeight="1" x14ac:dyDescent="0.2">
      <c r="A40" s="18" t="s">
        <v>25</v>
      </c>
      <c r="B40" s="26" t="s">
        <v>51</v>
      </c>
      <c r="C40" s="18" t="s">
        <v>24</v>
      </c>
      <c r="D40" s="20" t="s">
        <v>145</v>
      </c>
      <c r="E40" s="21">
        <f>F40+G40+H40+I40+K40+J40+L40+M40</f>
        <v>1154.3</v>
      </c>
      <c r="F40" s="37">
        <v>98.5</v>
      </c>
      <c r="G40" s="38">
        <f>205-5-71.5</f>
        <v>128.5</v>
      </c>
      <c r="H40" s="38">
        <v>150</v>
      </c>
      <c r="I40" s="39">
        <v>150</v>
      </c>
      <c r="J40" s="39">
        <v>156</v>
      </c>
      <c r="K40" s="39">
        <v>162</v>
      </c>
      <c r="L40" s="39">
        <v>168.5</v>
      </c>
      <c r="M40" s="39">
        <v>140.80000000000001</v>
      </c>
      <c r="N40" s="40" t="s">
        <v>59</v>
      </c>
      <c r="O40" s="26" t="s">
        <v>40</v>
      </c>
      <c r="P40" s="14"/>
    </row>
    <row r="41" spans="1:21" ht="24.75" customHeight="1" x14ac:dyDescent="0.2">
      <c r="A41" s="144" t="s">
        <v>26</v>
      </c>
      <c r="B41" s="142" t="s">
        <v>66</v>
      </c>
      <c r="C41" s="18" t="s">
        <v>29</v>
      </c>
      <c r="D41" s="20" t="s">
        <v>145</v>
      </c>
      <c r="E41" s="21">
        <f>F41+G41+H41+I41+K41+J41+L41+M41</f>
        <v>66043.8</v>
      </c>
      <c r="F41" s="22">
        <v>906</v>
      </c>
      <c r="G41" s="23">
        <v>8454.9</v>
      </c>
      <c r="H41" s="38">
        <f>15000+410.2+239.4+974.9-239.4-410.2-974.9+3720+760+713.4-1406.6-17.8+21+95.4</f>
        <v>18885.400000000005</v>
      </c>
      <c r="I41" s="38">
        <f>6818.8+500+1000+156.1+881.7+408.6+119.8-30</f>
        <v>9855</v>
      </c>
      <c r="J41" s="38">
        <f>8702.1+315.8</f>
        <v>9017.9</v>
      </c>
      <c r="K41" s="38">
        <v>8644.5</v>
      </c>
      <c r="L41" s="41">
        <v>8990.2999999999993</v>
      </c>
      <c r="M41" s="41">
        <v>1289.8</v>
      </c>
      <c r="N41" s="142" t="s">
        <v>59</v>
      </c>
      <c r="O41" s="142" t="s">
        <v>100</v>
      </c>
      <c r="P41" s="14"/>
    </row>
    <row r="42" spans="1:21" s="12" customFormat="1" ht="24" customHeight="1" x14ac:dyDescent="0.2">
      <c r="A42" s="160"/>
      <c r="B42" s="159"/>
      <c r="C42" s="18" t="s">
        <v>91</v>
      </c>
      <c r="D42" s="129" t="s">
        <v>143</v>
      </c>
      <c r="E42" s="21">
        <f t="shared" ref="E42:E43" si="2">F42+G42+H42+I42+K42+J42</f>
        <v>32968.9</v>
      </c>
      <c r="F42" s="22">
        <v>742.9</v>
      </c>
      <c r="G42" s="23">
        <v>742.9</v>
      </c>
      <c r="H42" s="38">
        <f>736.8+4455.8</f>
        <v>5192.6000000000004</v>
      </c>
      <c r="I42" s="38">
        <f>726+1578.2+16750</f>
        <v>19054.2</v>
      </c>
      <c r="J42" s="38">
        <f>6000+1236.3</f>
        <v>7236.3</v>
      </c>
      <c r="K42" s="38">
        <v>0</v>
      </c>
      <c r="L42" s="38">
        <v>0</v>
      </c>
      <c r="M42" s="38">
        <v>0</v>
      </c>
      <c r="N42" s="159"/>
      <c r="O42" s="159"/>
      <c r="P42" s="14"/>
    </row>
    <row r="43" spans="1:21" s="12" customFormat="1" ht="50.25" customHeight="1" x14ac:dyDescent="0.2">
      <c r="A43" s="145"/>
      <c r="B43" s="143"/>
      <c r="C43" s="18" t="s">
        <v>94</v>
      </c>
      <c r="D43" s="129" t="s">
        <v>142</v>
      </c>
      <c r="E43" s="21">
        <f t="shared" si="2"/>
        <v>48218.5</v>
      </c>
      <c r="F43" s="22">
        <v>12263.4</v>
      </c>
      <c r="G43" s="23">
        <f>15000-44.9</f>
        <v>14955.1</v>
      </c>
      <c r="H43" s="38">
        <v>21000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143"/>
      <c r="O43" s="143"/>
      <c r="P43" s="14"/>
    </row>
    <row r="44" spans="1:21" s="12" customFormat="1" ht="74.25" customHeight="1" x14ac:dyDescent="0.2">
      <c r="A44" s="18" t="s">
        <v>27</v>
      </c>
      <c r="B44" s="30" t="s">
        <v>67</v>
      </c>
      <c r="C44" s="18" t="s">
        <v>24</v>
      </c>
      <c r="D44" s="20" t="s">
        <v>145</v>
      </c>
      <c r="E44" s="21">
        <f>F44+G44+H44+I44+K44+J44+L44+M44</f>
        <v>27248.799999999999</v>
      </c>
      <c r="F44" s="43">
        <v>2500</v>
      </c>
      <c r="G44" s="27">
        <v>3000</v>
      </c>
      <c r="H44" s="27">
        <v>3375.7</v>
      </c>
      <c r="I44" s="24">
        <v>3500</v>
      </c>
      <c r="J44" s="24">
        <v>3640</v>
      </c>
      <c r="K44" s="24">
        <v>3782</v>
      </c>
      <c r="L44" s="24">
        <v>3933.3</v>
      </c>
      <c r="M44" s="24">
        <v>3517.8</v>
      </c>
      <c r="N44" s="40" t="s">
        <v>59</v>
      </c>
      <c r="O44" s="128" t="s">
        <v>40</v>
      </c>
      <c r="P44" s="14"/>
    </row>
    <row r="45" spans="1:21" s="12" customFormat="1" ht="37.5" customHeight="1" x14ac:dyDescent="0.2">
      <c r="A45" s="29" t="s">
        <v>28</v>
      </c>
      <c r="B45" s="131" t="s">
        <v>86</v>
      </c>
      <c r="C45" s="18" t="s">
        <v>24</v>
      </c>
      <c r="D45" s="20" t="s">
        <v>157</v>
      </c>
      <c r="E45" s="21">
        <f>F45+G45+H45+I45+K45+J45+L45</f>
        <v>41141.9</v>
      </c>
      <c r="F45" s="22">
        <v>11105</v>
      </c>
      <c r="G45" s="23">
        <f>13513.7+569.5</f>
        <v>14083.2</v>
      </c>
      <c r="H45" s="23">
        <v>6350</v>
      </c>
      <c r="I45" s="23">
        <f>4960.7+67</f>
        <v>5027.7</v>
      </c>
      <c r="J45" s="23">
        <v>0</v>
      </c>
      <c r="K45" s="23">
        <v>0</v>
      </c>
      <c r="L45" s="23">
        <f>5000-424</f>
        <v>4576</v>
      </c>
      <c r="M45" s="23">
        <v>0</v>
      </c>
      <c r="N45" s="26" t="s">
        <v>59</v>
      </c>
      <c r="O45" s="26" t="s">
        <v>41</v>
      </c>
      <c r="P45" s="14"/>
      <c r="Q45" s="140"/>
      <c r="R45" s="140"/>
      <c r="S45" s="140"/>
      <c r="T45" s="140"/>
      <c r="U45" s="140"/>
    </row>
    <row r="46" spans="1:21" ht="34.5" customHeight="1" x14ac:dyDescent="0.2">
      <c r="A46" s="29" t="s">
        <v>87</v>
      </c>
      <c r="B46" s="131" t="s">
        <v>88</v>
      </c>
      <c r="C46" s="18" t="s">
        <v>24</v>
      </c>
      <c r="D46" s="20" t="s">
        <v>158</v>
      </c>
      <c r="E46" s="21">
        <f>SUM(F46:K46)</f>
        <v>695</v>
      </c>
      <c r="F46" s="22">
        <v>0</v>
      </c>
      <c r="G46" s="23">
        <v>200</v>
      </c>
      <c r="H46" s="23">
        <v>495</v>
      </c>
      <c r="I46" s="23">
        <f>100-67-33</f>
        <v>0</v>
      </c>
      <c r="J46" s="23">
        <v>0</v>
      </c>
      <c r="K46" s="23">
        <v>0</v>
      </c>
      <c r="L46" s="23">
        <v>0</v>
      </c>
      <c r="M46" s="23">
        <v>0</v>
      </c>
      <c r="N46" s="26" t="s">
        <v>59</v>
      </c>
      <c r="O46" s="26" t="s">
        <v>41</v>
      </c>
      <c r="P46" s="14"/>
    </row>
    <row r="47" spans="1:21" ht="63" customHeight="1" x14ac:dyDescent="0.2">
      <c r="A47" s="45" t="s">
        <v>148</v>
      </c>
      <c r="B47" s="131" t="s">
        <v>150</v>
      </c>
      <c r="C47" s="18" t="s">
        <v>24</v>
      </c>
      <c r="D47" s="20" t="s">
        <v>149</v>
      </c>
      <c r="E47" s="31">
        <f>SUM(F47:M47)</f>
        <v>300</v>
      </c>
      <c r="F47" s="22">
        <v>0</v>
      </c>
      <c r="G47" s="23">
        <v>0</v>
      </c>
      <c r="H47" s="23">
        <v>100</v>
      </c>
      <c r="I47" s="23">
        <v>200</v>
      </c>
      <c r="J47" s="23">
        <v>0</v>
      </c>
      <c r="K47" s="23">
        <v>0</v>
      </c>
      <c r="L47" s="23">
        <v>0</v>
      </c>
      <c r="M47" s="23">
        <v>0</v>
      </c>
      <c r="N47" s="26" t="s">
        <v>59</v>
      </c>
      <c r="O47" s="26" t="s">
        <v>40</v>
      </c>
      <c r="P47" s="14"/>
    </row>
    <row r="48" spans="1:21" ht="16.5" customHeight="1" x14ac:dyDescent="0.2">
      <c r="A48" s="75"/>
      <c r="B48" s="76" t="s">
        <v>53</v>
      </c>
      <c r="C48" s="77"/>
      <c r="D48" s="78"/>
      <c r="E48" s="79">
        <f t="shared" ref="E48:M48" si="3">SUM(E39:E47)</f>
        <v>248499.3</v>
      </c>
      <c r="F48" s="80">
        <f t="shared" si="3"/>
        <v>29492.1</v>
      </c>
      <c r="G48" s="80">
        <f t="shared" si="3"/>
        <v>44507.899999999994</v>
      </c>
      <c r="H48" s="80">
        <f t="shared" si="3"/>
        <v>62145.200000000004</v>
      </c>
      <c r="I48" s="80">
        <f t="shared" si="3"/>
        <v>41372.699999999997</v>
      </c>
      <c r="J48" s="80">
        <f t="shared" si="3"/>
        <v>25404.399999999998</v>
      </c>
      <c r="K48" s="80">
        <f t="shared" si="3"/>
        <v>16551.8</v>
      </c>
      <c r="L48" s="80">
        <f t="shared" si="3"/>
        <v>21789.899999999998</v>
      </c>
      <c r="M48" s="80">
        <f t="shared" si="3"/>
        <v>7235.3</v>
      </c>
      <c r="N48" s="81"/>
      <c r="O48" s="81"/>
      <c r="P48" s="14"/>
    </row>
    <row r="49" spans="1:20" ht="27.75" customHeight="1" x14ac:dyDescent="0.2">
      <c r="A49" s="82"/>
      <c r="B49" s="76" t="s">
        <v>94</v>
      </c>
      <c r="C49" s="77"/>
      <c r="D49" s="78"/>
      <c r="E49" s="80">
        <f>SUM(F49:K49)</f>
        <v>48218.5</v>
      </c>
      <c r="F49" s="80">
        <v>12263.4</v>
      </c>
      <c r="G49" s="80">
        <f>G43</f>
        <v>14955.1</v>
      </c>
      <c r="H49" s="80">
        <f>H43</f>
        <v>21000</v>
      </c>
      <c r="I49" s="80">
        <f>I43</f>
        <v>0</v>
      </c>
      <c r="J49" s="80">
        <f>J43</f>
        <v>0</v>
      </c>
      <c r="K49" s="80">
        <f>K43</f>
        <v>0</v>
      </c>
      <c r="L49" s="80">
        <v>0</v>
      </c>
      <c r="M49" s="80">
        <v>0</v>
      </c>
      <c r="N49" s="81"/>
      <c r="O49" s="83"/>
      <c r="P49" s="14"/>
    </row>
    <row r="50" spans="1:20" ht="14.25" customHeight="1" x14ac:dyDescent="0.2">
      <c r="A50" s="82"/>
      <c r="B50" s="76" t="s">
        <v>91</v>
      </c>
      <c r="C50" s="77"/>
      <c r="D50" s="78"/>
      <c r="E50" s="80">
        <f>SUM(F50:K50)</f>
        <v>32968.9</v>
      </c>
      <c r="F50" s="80">
        <v>742.9</v>
      </c>
      <c r="G50" s="80">
        <f>G42</f>
        <v>742.9</v>
      </c>
      <c r="H50" s="80">
        <f>H42</f>
        <v>5192.6000000000004</v>
      </c>
      <c r="I50" s="80">
        <f t="shared" ref="I50:K50" si="4">I42</f>
        <v>19054.2</v>
      </c>
      <c r="J50" s="80">
        <f t="shared" si="4"/>
        <v>7236.3</v>
      </c>
      <c r="K50" s="80">
        <f t="shared" si="4"/>
        <v>0</v>
      </c>
      <c r="L50" s="84">
        <v>0</v>
      </c>
      <c r="M50" s="84">
        <v>0</v>
      </c>
      <c r="N50" s="81"/>
      <c r="O50" s="83"/>
      <c r="P50" s="14"/>
    </row>
    <row r="51" spans="1:20" ht="15" customHeight="1" x14ac:dyDescent="0.2">
      <c r="A51" s="85"/>
      <c r="B51" s="86" t="s">
        <v>29</v>
      </c>
      <c r="C51" s="85"/>
      <c r="D51" s="85"/>
      <c r="E51" s="80">
        <f>SUM(E48-E49-E50)</f>
        <v>167311.9</v>
      </c>
      <c r="F51" s="80">
        <f>SUM(F48-F49-F50)</f>
        <v>16485.799999999996</v>
      </c>
      <c r="G51" s="80">
        <f>G48-G50-G49</f>
        <v>28809.899999999994</v>
      </c>
      <c r="H51" s="80">
        <f>H48-H50-H49</f>
        <v>35952.600000000006</v>
      </c>
      <c r="I51" s="80">
        <f>I48-I50-I49</f>
        <v>22318.499999999996</v>
      </c>
      <c r="J51" s="80">
        <f>J48-J50-J49</f>
        <v>18168.099999999999</v>
      </c>
      <c r="K51" s="80">
        <f>K48-K50-K49</f>
        <v>16551.8</v>
      </c>
      <c r="L51" s="80">
        <f>L48-L49-L50</f>
        <v>21789.899999999998</v>
      </c>
      <c r="M51" s="80">
        <f>M48-M49-M50</f>
        <v>7235.3</v>
      </c>
      <c r="N51" s="81"/>
      <c r="O51" s="87"/>
      <c r="P51" s="14"/>
    </row>
    <row r="52" spans="1:20" ht="16.5" customHeight="1" x14ac:dyDescent="0.2">
      <c r="A52" s="167" t="s">
        <v>109</v>
      </c>
      <c r="B52" s="167"/>
      <c r="C52" s="167"/>
      <c r="D52" s="167"/>
      <c r="E52" s="168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4"/>
      <c r="T52" s="6"/>
    </row>
    <row r="53" spans="1:20" ht="75.75" customHeight="1" x14ac:dyDescent="0.2">
      <c r="A53" s="48" t="s">
        <v>9</v>
      </c>
      <c r="B53" s="30" t="s">
        <v>83</v>
      </c>
      <c r="C53" s="18" t="s">
        <v>24</v>
      </c>
      <c r="D53" s="42" t="s">
        <v>145</v>
      </c>
      <c r="E53" s="49">
        <f>F53+G53+H53+I53+K53+J53+L53+M53</f>
        <v>320327.40000000002</v>
      </c>
      <c r="F53" s="22">
        <v>27939.599999999999</v>
      </c>
      <c r="G53" s="23">
        <v>31946.6</v>
      </c>
      <c r="H53" s="23">
        <f>30958.2+6976.3+3793</f>
        <v>41727.5</v>
      </c>
      <c r="I53" s="50">
        <f>32506.1+9766.9+293.9</f>
        <v>42566.9</v>
      </c>
      <c r="J53" s="50">
        <v>43451.3</v>
      </c>
      <c r="K53" s="50">
        <v>45678.5</v>
      </c>
      <c r="L53" s="50">
        <v>47505.599999999999</v>
      </c>
      <c r="M53" s="50">
        <v>39511.4</v>
      </c>
      <c r="N53" s="40" t="s">
        <v>59</v>
      </c>
      <c r="O53" s="30" t="s">
        <v>68</v>
      </c>
      <c r="P53" s="14"/>
    </row>
    <row r="54" spans="1:20" ht="29.25" customHeight="1" x14ac:dyDescent="0.2">
      <c r="A54" s="18" t="s">
        <v>10</v>
      </c>
      <c r="B54" s="30" t="s">
        <v>92</v>
      </c>
      <c r="C54" s="18" t="s">
        <v>24</v>
      </c>
      <c r="D54" s="42" t="s">
        <v>76</v>
      </c>
      <c r="E54" s="49">
        <f>F54+G54+H54+I54+K54+J54</f>
        <v>53</v>
      </c>
      <c r="F54" s="22">
        <v>53</v>
      </c>
      <c r="G54" s="23">
        <v>0</v>
      </c>
      <c r="H54" s="23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40" t="s">
        <v>59</v>
      </c>
      <c r="O54" s="30" t="s">
        <v>93</v>
      </c>
      <c r="P54" s="14"/>
    </row>
    <row r="55" spans="1:20" ht="39.75" customHeight="1" x14ac:dyDescent="0.2">
      <c r="A55" s="18" t="s">
        <v>11</v>
      </c>
      <c r="B55" s="30" t="s">
        <v>47</v>
      </c>
      <c r="C55" s="18" t="s">
        <v>24</v>
      </c>
      <c r="D55" s="42" t="s">
        <v>145</v>
      </c>
      <c r="E55" s="49">
        <f>F55+G55+H55+I55+K55+J55+L55+M55</f>
        <v>8047.1</v>
      </c>
      <c r="F55" s="22">
        <v>790.8</v>
      </c>
      <c r="G55" s="23">
        <v>830.3</v>
      </c>
      <c r="H55" s="23">
        <v>973.9</v>
      </c>
      <c r="I55" s="23">
        <v>1022.4</v>
      </c>
      <c r="J55" s="23">
        <v>1063.3</v>
      </c>
      <c r="K55" s="23">
        <v>1104.8</v>
      </c>
      <c r="L55" s="23">
        <v>1149</v>
      </c>
      <c r="M55" s="23">
        <v>1112.5999999999999</v>
      </c>
      <c r="N55" s="26" t="s">
        <v>59</v>
      </c>
      <c r="O55" s="30" t="s">
        <v>30</v>
      </c>
      <c r="P55" s="14"/>
    </row>
    <row r="56" spans="1:20" ht="15" customHeight="1" x14ac:dyDescent="0.2">
      <c r="A56" s="19"/>
      <c r="B56" s="86" t="s">
        <v>54</v>
      </c>
      <c r="C56" s="85"/>
      <c r="D56" s="85"/>
      <c r="E56" s="74">
        <f>SUM(E53:E55)</f>
        <v>328427.5</v>
      </c>
      <c r="F56" s="74">
        <f>F55+F54+F53</f>
        <v>28783.399999999998</v>
      </c>
      <c r="G56" s="74">
        <f>SUM(G53:G55)</f>
        <v>32776.9</v>
      </c>
      <c r="H56" s="74">
        <f>H55+H54+H53</f>
        <v>42701.4</v>
      </c>
      <c r="I56" s="74">
        <f>I55+I54+I53</f>
        <v>43589.3</v>
      </c>
      <c r="J56" s="74">
        <f>J55+J54+J53</f>
        <v>44514.600000000006</v>
      </c>
      <c r="K56" s="74">
        <f>SUM(K53:K55)</f>
        <v>46783.3</v>
      </c>
      <c r="L56" s="74">
        <f>SUM(L53:L55)</f>
        <v>48654.6</v>
      </c>
      <c r="M56" s="74">
        <f>SUM(M53:M55)</f>
        <v>40624</v>
      </c>
      <c r="N56" s="81"/>
      <c r="O56" s="89"/>
      <c r="P56" s="14"/>
    </row>
    <row r="57" spans="1:20" ht="14.25" customHeight="1" x14ac:dyDescent="0.2">
      <c r="A57" s="18"/>
      <c r="B57" s="86" t="s">
        <v>29</v>
      </c>
      <c r="C57" s="85"/>
      <c r="D57" s="85"/>
      <c r="E57" s="74">
        <f>SUM(F57:M57)</f>
        <v>328427.5</v>
      </c>
      <c r="F57" s="74">
        <f t="shared" ref="F57:I57" si="5">F56</f>
        <v>28783.399999999998</v>
      </c>
      <c r="G57" s="74">
        <f t="shared" si="5"/>
        <v>32776.9</v>
      </c>
      <c r="H57" s="74">
        <f t="shared" si="5"/>
        <v>42701.4</v>
      </c>
      <c r="I57" s="74">
        <f t="shared" si="5"/>
        <v>43589.3</v>
      </c>
      <c r="J57" s="74">
        <f t="shared" ref="J57" si="6">J56</f>
        <v>44514.600000000006</v>
      </c>
      <c r="K57" s="74">
        <f>K56</f>
        <v>46783.3</v>
      </c>
      <c r="L57" s="74">
        <f>L56</f>
        <v>48654.6</v>
      </c>
      <c r="M57" s="74">
        <f>M56</f>
        <v>40624</v>
      </c>
      <c r="N57" s="81"/>
      <c r="O57" s="89"/>
      <c r="P57" s="14"/>
    </row>
    <row r="58" spans="1:20" ht="16.5" customHeight="1" x14ac:dyDescent="0.2">
      <c r="A58" s="178" t="s">
        <v>110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80"/>
      <c r="P58" s="14"/>
    </row>
    <row r="59" spans="1:20" s="12" customFormat="1" ht="34.5" customHeight="1" x14ac:dyDescent="0.2">
      <c r="A59" s="18" t="s">
        <v>12</v>
      </c>
      <c r="B59" s="30" t="s">
        <v>45</v>
      </c>
      <c r="C59" s="18" t="s">
        <v>24</v>
      </c>
      <c r="D59" s="42" t="s">
        <v>145</v>
      </c>
      <c r="E59" s="49">
        <f>F59+G59+H59+I59+K59+J59+L59+M59</f>
        <v>80538.900000000009</v>
      </c>
      <c r="F59" s="22">
        <v>7511.7</v>
      </c>
      <c r="G59" s="23">
        <f>6302.7+1600+96.4</f>
        <v>7999.0999999999995</v>
      </c>
      <c r="H59" s="23">
        <v>9832.2999999999993</v>
      </c>
      <c r="I59" s="50">
        <f>7313.5+3566.9</f>
        <v>10880.4</v>
      </c>
      <c r="J59" s="50">
        <v>11498</v>
      </c>
      <c r="K59" s="50">
        <v>11729.3</v>
      </c>
      <c r="L59" s="50">
        <v>12198.5</v>
      </c>
      <c r="M59" s="50">
        <v>8889.6</v>
      </c>
      <c r="N59" s="40" t="s">
        <v>59</v>
      </c>
      <c r="O59" s="30" t="s">
        <v>31</v>
      </c>
      <c r="P59" s="14"/>
    </row>
    <row r="60" spans="1:20" ht="61.5" customHeight="1" x14ac:dyDescent="0.2">
      <c r="A60" s="18" t="s">
        <v>13</v>
      </c>
      <c r="B60" s="30" t="s">
        <v>46</v>
      </c>
      <c r="C60" s="18" t="s">
        <v>24</v>
      </c>
      <c r="D60" s="42" t="s">
        <v>76</v>
      </c>
      <c r="E60" s="49">
        <f>F60+G60+H60+I60+K60+J60</f>
        <v>315</v>
      </c>
      <c r="F60" s="22">
        <v>315</v>
      </c>
      <c r="G60" s="23">
        <v>0</v>
      </c>
      <c r="H60" s="23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40" t="s">
        <v>59</v>
      </c>
      <c r="O60" s="30" t="s">
        <v>32</v>
      </c>
      <c r="P60" s="14"/>
    </row>
    <row r="61" spans="1:20" ht="39" customHeight="1" x14ac:dyDescent="0.2">
      <c r="A61" s="18" t="s">
        <v>22</v>
      </c>
      <c r="B61" s="30" t="s">
        <v>50</v>
      </c>
      <c r="C61" s="18" t="s">
        <v>24</v>
      </c>
      <c r="D61" s="42" t="s">
        <v>145</v>
      </c>
      <c r="E61" s="49">
        <f>F61+G61+H61+I61+K61+J61+L61+M61</f>
        <v>10238.299999999999</v>
      </c>
      <c r="F61" s="22">
        <v>1090</v>
      </c>
      <c r="G61" s="23">
        <v>1144.5</v>
      </c>
      <c r="H61" s="23">
        <v>1045.5</v>
      </c>
      <c r="I61" s="23">
        <v>1261.8</v>
      </c>
      <c r="J61" s="23">
        <v>1324.9</v>
      </c>
      <c r="K61" s="23">
        <f>1391.1</f>
        <v>1391.1</v>
      </c>
      <c r="L61" s="23">
        <v>1446.8</v>
      </c>
      <c r="M61" s="23">
        <v>1533.7</v>
      </c>
      <c r="N61" s="26" t="s">
        <v>59</v>
      </c>
      <c r="O61" s="30" t="s">
        <v>70</v>
      </c>
      <c r="P61" s="14"/>
    </row>
    <row r="62" spans="1:20" ht="38.25" customHeight="1" x14ac:dyDescent="0.2">
      <c r="A62" s="47" t="s">
        <v>101</v>
      </c>
      <c r="B62" s="44" t="s">
        <v>102</v>
      </c>
      <c r="C62" s="18" t="s">
        <v>24</v>
      </c>
      <c r="D62" s="42" t="s">
        <v>159</v>
      </c>
      <c r="E62" s="49">
        <f>SUM(F62:M62)</f>
        <v>408.2</v>
      </c>
      <c r="F62" s="43">
        <v>0</v>
      </c>
      <c r="G62" s="27">
        <v>40</v>
      </c>
      <c r="H62" s="27">
        <v>50</v>
      </c>
      <c r="I62" s="27">
        <v>75</v>
      </c>
      <c r="J62" s="27">
        <v>78</v>
      </c>
      <c r="K62" s="27">
        <v>81</v>
      </c>
      <c r="L62" s="27">
        <v>84.2</v>
      </c>
      <c r="M62" s="27">
        <v>0</v>
      </c>
      <c r="N62" s="26" t="s">
        <v>59</v>
      </c>
      <c r="O62" s="52" t="s">
        <v>105</v>
      </c>
      <c r="P62" s="14"/>
    </row>
    <row r="63" spans="1:20" ht="63" customHeight="1" x14ac:dyDescent="0.2">
      <c r="A63" s="53" t="s">
        <v>138</v>
      </c>
      <c r="B63" s="44" t="s">
        <v>139</v>
      </c>
      <c r="C63" s="18" t="s">
        <v>24</v>
      </c>
      <c r="D63" s="20" t="s">
        <v>160</v>
      </c>
      <c r="E63" s="54">
        <f>SUM(F63:K63)</f>
        <v>5942.6</v>
      </c>
      <c r="F63" s="43">
        <v>0</v>
      </c>
      <c r="G63" s="27">
        <v>0</v>
      </c>
      <c r="H63" s="27">
        <v>4856.1000000000004</v>
      </c>
      <c r="I63" s="27">
        <v>0</v>
      </c>
      <c r="J63" s="27">
        <v>1086.5</v>
      </c>
      <c r="K63" s="27">
        <v>0</v>
      </c>
      <c r="L63" s="27">
        <v>0</v>
      </c>
      <c r="M63" s="27">
        <v>0</v>
      </c>
      <c r="N63" s="26" t="s">
        <v>59</v>
      </c>
      <c r="O63" s="30" t="s">
        <v>32</v>
      </c>
      <c r="P63" s="14"/>
    </row>
    <row r="64" spans="1:20" ht="15" customHeight="1" x14ac:dyDescent="0.2">
      <c r="A64" s="75"/>
      <c r="B64" s="76" t="s">
        <v>55</v>
      </c>
      <c r="C64" s="77"/>
      <c r="D64" s="78"/>
      <c r="E64" s="74">
        <f t="shared" ref="E64:K64" si="7">SUM(E59:E63)</f>
        <v>97443.000000000015</v>
      </c>
      <c r="F64" s="74">
        <f t="shared" si="7"/>
        <v>8916.7000000000007</v>
      </c>
      <c r="G64" s="74">
        <f t="shared" si="7"/>
        <v>9183.5999999999985</v>
      </c>
      <c r="H64" s="74">
        <f t="shared" si="7"/>
        <v>15783.9</v>
      </c>
      <c r="I64" s="74">
        <f t="shared" si="7"/>
        <v>12217.199999999999</v>
      </c>
      <c r="J64" s="74">
        <f t="shared" si="7"/>
        <v>13987.4</v>
      </c>
      <c r="K64" s="74">
        <f t="shared" si="7"/>
        <v>13201.4</v>
      </c>
      <c r="L64" s="73">
        <f>SUM(L59:L63)</f>
        <v>13729.5</v>
      </c>
      <c r="M64" s="73">
        <f>SUM(M59:M63)</f>
        <v>10423.300000000001</v>
      </c>
      <c r="N64" s="88"/>
      <c r="O64" s="90"/>
      <c r="P64" s="14"/>
    </row>
    <row r="65" spans="1:20" ht="15" customHeight="1" x14ac:dyDescent="0.2">
      <c r="A65" s="85"/>
      <c r="B65" s="86" t="s">
        <v>29</v>
      </c>
      <c r="C65" s="85"/>
      <c r="D65" s="85"/>
      <c r="E65" s="74">
        <f>SUM(F65:M65)</f>
        <v>97443</v>
      </c>
      <c r="F65" s="74">
        <f t="shared" ref="F65:I65" si="8">F64</f>
        <v>8916.7000000000007</v>
      </c>
      <c r="G65" s="74">
        <f t="shared" si="8"/>
        <v>9183.5999999999985</v>
      </c>
      <c r="H65" s="74">
        <f t="shared" si="8"/>
        <v>15783.9</v>
      </c>
      <c r="I65" s="74">
        <f t="shared" si="8"/>
        <v>12217.199999999999</v>
      </c>
      <c r="J65" s="74">
        <f t="shared" ref="J65" si="9">J64</f>
        <v>13987.4</v>
      </c>
      <c r="K65" s="74">
        <f>K64</f>
        <v>13201.4</v>
      </c>
      <c r="L65" s="74">
        <f>L64</f>
        <v>13729.5</v>
      </c>
      <c r="M65" s="74">
        <f>M64</f>
        <v>10423.300000000001</v>
      </c>
      <c r="N65" s="88"/>
      <c r="O65" s="89"/>
      <c r="P65" s="14"/>
    </row>
    <row r="66" spans="1:20" ht="16.5" customHeight="1" x14ac:dyDescent="0.2">
      <c r="A66" s="181" t="s">
        <v>111</v>
      </c>
      <c r="B66" s="182"/>
      <c r="C66" s="182"/>
      <c r="D66" s="182"/>
      <c r="E66" s="172"/>
      <c r="F66" s="182"/>
      <c r="G66" s="182"/>
      <c r="H66" s="182"/>
      <c r="I66" s="182"/>
      <c r="J66" s="182"/>
      <c r="K66" s="182"/>
      <c r="L66" s="182"/>
      <c r="M66" s="182"/>
      <c r="N66" s="182"/>
      <c r="O66" s="183"/>
      <c r="P66" s="14"/>
      <c r="Q66" s="134"/>
      <c r="R66" s="135"/>
      <c r="S66" s="135"/>
      <c r="T66" s="135"/>
    </row>
    <row r="67" spans="1:20" ht="45" customHeight="1" x14ac:dyDescent="0.2">
      <c r="A67" s="18" t="s">
        <v>14</v>
      </c>
      <c r="B67" s="30" t="s">
        <v>69</v>
      </c>
      <c r="C67" s="55" t="s">
        <v>24</v>
      </c>
      <c r="D67" s="42" t="s">
        <v>145</v>
      </c>
      <c r="E67" s="49">
        <f>SUM(F67:M67)</f>
        <v>124781.2</v>
      </c>
      <c r="F67" s="22">
        <v>10695.4</v>
      </c>
      <c r="G67" s="23">
        <f>11593.2+5+495</f>
        <v>12093.2</v>
      </c>
      <c r="H67" s="23">
        <f>11262.3+2151.9</f>
        <v>13414.199999999999</v>
      </c>
      <c r="I67" s="50">
        <f>11825.4+4431.6+5750+59.9</f>
        <v>22066.9</v>
      </c>
      <c r="J67" s="50">
        <v>16302.2</v>
      </c>
      <c r="K67" s="50">
        <v>17566.400000000001</v>
      </c>
      <c r="L67" s="50">
        <v>18269.099999999999</v>
      </c>
      <c r="M67" s="50">
        <v>14373.8</v>
      </c>
      <c r="N67" s="40" t="s">
        <v>59</v>
      </c>
      <c r="O67" s="30" t="s">
        <v>33</v>
      </c>
      <c r="P67" s="14"/>
    </row>
    <row r="68" spans="1:20" ht="46.5" customHeight="1" x14ac:dyDescent="0.2">
      <c r="A68" s="18" t="s">
        <v>15</v>
      </c>
      <c r="B68" s="30" t="s">
        <v>71</v>
      </c>
      <c r="C68" s="18" t="s">
        <v>24</v>
      </c>
      <c r="D68" s="42" t="s">
        <v>76</v>
      </c>
      <c r="E68" s="49">
        <f>F68+G68+H68+I68+K68+J68</f>
        <v>500</v>
      </c>
      <c r="F68" s="22">
        <v>500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50">
        <v>0</v>
      </c>
      <c r="M68" s="50">
        <v>0</v>
      </c>
      <c r="N68" s="40" t="s">
        <v>59</v>
      </c>
      <c r="O68" s="26" t="s">
        <v>38</v>
      </c>
      <c r="P68" s="14"/>
    </row>
    <row r="69" spans="1:20" ht="33" customHeight="1" x14ac:dyDescent="0.2">
      <c r="A69" s="18" t="s">
        <v>16</v>
      </c>
      <c r="B69" s="30" t="s">
        <v>34</v>
      </c>
      <c r="C69" s="18" t="s">
        <v>24</v>
      </c>
      <c r="D69" s="42" t="s">
        <v>161</v>
      </c>
      <c r="E69" s="49">
        <f>F69+G69+H69+I69+K69+J69+L69+M69</f>
        <v>41.5</v>
      </c>
      <c r="F69" s="22">
        <v>5</v>
      </c>
      <c r="G69" s="23">
        <f>17.9-5</f>
        <v>12.899999999999999</v>
      </c>
      <c r="H69" s="23">
        <v>18.8</v>
      </c>
      <c r="I69" s="50">
        <f>19.8-15</f>
        <v>4.8000000000000007</v>
      </c>
      <c r="J69" s="50">
        <v>0</v>
      </c>
      <c r="K69" s="50">
        <v>0</v>
      </c>
      <c r="L69" s="50">
        <v>0</v>
      </c>
      <c r="M69" s="50">
        <v>0</v>
      </c>
      <c r="N69" s="40" t="s">
        <v>59</v>
      </c>
      <c r="O69" s="30" t="s">
        <v>35</v>
      </c>
      <c r="P69" s="14"/>
    </row>
    <row r="70" spans="1:20" s="13" customFormat="1" ht="84.75" customHeight="1" x14ac:dyDescent="0.2">
      <c r="A70" s="18" t="s">
        <v>95</v>
      </c>
      <c r="B70" s="30" t="s">
        <v>97</v>
      </c>
      <c r="C70" s="18" t="s">
        <v>24</v>
      </c>
      <c r="D70" s="42" t="s">
        <v>162</v>
      </c>
      <c r="E70" s="49">
        <f>F70+G70+H70+I70+K70+J70+L70+M70</f>
        <v>225.5</v>
      </c>
      <c r="F70" s="22">
        <v>12</v>
      </c>
      <c r="G70" s="23">
        <v>30</v>
      </c>
      <c r="H70" s="23">
        <v>35</v>
      </c>
      <c r="I70" s="50">
        <v>35</v>
      </c>
      <c r="J70" s="50">
        <v>36.4</v>
      </c>
      <c r="K70" s="50">
        <v>37.799999999999997</v>
      </c>
      <c r="L70" s="50">
        <v>39.299999999999997</v>
      </c>
      <c r="M70" s="50">
        <v>0</v>
      </c>
      <c r="N70" s="40" t="s">
        <v>59</v>
      </c>
      <c r="O70" s="30" t="s">
        <v>96</v>
      </c>
      <c r="P70" s="56"/>
    </row>
    <row r="71" spans="1:20" s="13" customFormat="1" ht="19.5" customHeight="1" x14ac:dyDescent="0.2">
      <c r="A71" s="91"/>
      <c r="B71" s="92" t="s">
        <v>56</v>
      </c>
      <c r="C71" s="93"/>
      <c r="D71" s="94"/>
      <c r="E71" s="95">
        <f>SUM(E67:E70)</f>
        <v>125548.2</v>
      </c>
      <c r="F71" s="74">
        <f t="shared" ref="F71:I71" si="10">SUM(F67:F70)</f>
        <v>11212.4</v>
      </c>
      <c r="G71" s="74">
        <f>SUM(G67:G70)</f>
        <v>12136.1</v>
      </c>
      <c r="H71" s="74">
        <f t="shared" si="10"/>
        <v>13467.999999999998</v>
      </c>
      <c r="I71" s="74">
        <f t="shared" si="10"/>
        <v>22106.7</v>
      </c>
      <c r="J71" s="74">
        <f t="shared" ref="J71" si="11">SUM(J67:J70)</f>
        <v>16338.6</v>
      </c>
      <c r="K71" s="74">
        <f>SUM(K67:K70)</f>
        <v>17604.2</v>
      </c>
      <c r="L71" s="73">
        <f>SUM(L67:L70)</f>
        <v>18308.399999999998</v>
      </c>
      <c r="M71" s="73">
        <f>SUM(M67:M70)</f>
        <v>14373.8</v>
      </c>
      <c r="N71" s="96"/>
      <c r="O71" s="97"/>
      <c r="P71" s="56"/>
    </row>
    <row r="72" spans="1:20" ht="15.75" customHeight="1" x14ac:dyDescent="0.2">
      <c r="A72" s="94"/>
      <c r="B72" s="86" t="s">
        <v>29</v>
      </c>
      <c r="C72" s="94"/>
      <c r="D72" s="94"/>
      <c r="E72" s="74">
        <f>SUM(F72:M72)</f>
        <v>125548.2</v>
      </c>
      <c r="F72" s="74">
        <f t="shared" ref="F72:I72" si="12">F71</f>
        <v>11212.4</v>
      </c>
      <c r="G72" s="74">
        <f t="shared" si="12"/>
        <v>12136.1</v>
      </c>
      <c r="H72" s="74">
        <f t="shared" si="12"/>
        <v>13467.999999999998</v>
      </c>
      <c r="I72" s="74">
        <f t="shared" si="12"/>
        <v>22106.7</v>
      </c>
      <c r="J72" s="74">
        <f t="shared" ref="J72" si="13">J71</f>
        <v>16338.6</v>
      </c>
      <c r="K72" s="74">
        <f>K71</f>
        <v>17604.2</v>
      </c>
      <c r="L72" s="74">
        <f>L71</f>
        <v>18308.399999999998</v>
      </c>
      <c r="M72" s="74">
        <f>M71</f>
        <v>14373.8</v>
      </c>
      <c r="N72" s="96"/>
      <c r="O72" s="98"/>
      <c r="P72" s="14"/>
    </row>
    <row r="73" spans="1:20" ht="16.5" customHeight="1" x14ac:dyDescent="0.2">
      <c r="A73" s="167" t="s">
        <v>112</v>
      </c>
      <c r="B73" s="167"/>
      <c r="C73" s="167"/>
      <c r="D73" s="167"/>
      <c r="E73" s="168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4"/>
      <c r="T73" s="3" t="s">
        <v>49</v>
      </c>
    </row>
    <row r="74" spans="1:20" ht="51" customHeight="1" x14ac:dyDescent="0.2">
      <c r="A74" s="18" t="s">
        <v>17</v>
      </c>
      <c r="B74" s="30" t="s">
        <v>36</v>
      </c>
      <c r="C74" s="18" t="s">
        <v>24</v>
      </c>
      <c r="D74" s="42" t="s">
        <v>103</v>
      </c>
      <c r="E74" s="49">
        <f>F74+G74+H74+I74+K74+J74</f>
        <v>615.1</v>
      </c>
      <c r="F74" s="22">
        <v>335.6</v>
      </c>
      <c r="G74" s="23">
        <f>262.5+50-33</f>
        <v>279.5</v>
      </c>
      <c r="H74" s="23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40" t="s">
        <v>59</v>
      </c>
      <c r="O74" s="30" t="s">
        <v>84</v>
      </c>
      <c r="P74" s="14"/>
    </row>
    <row r="75" spans="1:20" ht="54" customHeight="1" x14ac:dyDescent="0.2">
      <c r="A75" s="18" t="s">
        <v>18</v>
      </c>
      <c r="B75" s="30" t="s">
        <v>37</v>
      </c>
      <c r="C75" s="18" t="s">
        <v>24</v>
      </c>
      <c r="D75" s="42" t="s">
        <v>103</v>
      </c>
      <c r="E75" s="49">
        <f>F75+G75+H75+I75+K75+J75</f>
        <v>2495.5</v>
      </c>
      <c r="F75" s="22">
        <f>2131-3</f>
        <v>2128</v>
      </c>
      <c r="G75" s="23">
        <v>367.5</v>
      </c>
      <c r="H75" s="23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26" t="s">
        <v>59</v>
      </c>
      <c r="O75" s="30" t="s">
        <v>84</v>
      </c>
      <c r="P75" s="14"/>
    </row>
    <row r="76" spans="1:20" s="13" customFormat="1" ht="49.5" customHeight="1" x14ac:dyDescent="0.2">
      <c r="A76" s="18" t="s">
        <v>19</v>
      </c>
      <c r="B76" s="64" t="s">
        <v>42</v>
      </c>
      <c r="C76" s="18" t="s">
        <v>24</v>
      </c>
      <c r="D76" s="42" t="s">
        <v>103</v>
      </c>
      <c r="E76" s="49">
        <f>F76+G76+H76+I76+K76+J76</f>
        <v>2828.4</v>
      </c>
      <c r="F76" s="43">
        <f>840+3</f>
        <v>843</v>
      </c>
      <c r="G76" s="27">
        <f>500+1285.4+200</f>
        <v>1985.4</v>
      </c>
      <c r="H76" s="27">
        <v>0</v>
      </c>
      <c r="I76" s="24">
        <v>0</v>
      </c>
      <c r="J76" s="24">
        <v>0</v>
      </c>
      <c r="K76" s="50">
        <v>0</v>
      </c>
      <c r="L76" s="50">
        <v>0</v>
      </c>
      <c r="M76" s="50">
        <v>0</v>
      </c>
      <c r="N76" s="40" t="s">
        <v>59</v>
      </c>
      <c r="O76" s="30" t="s">
        <v>84</v>
      </c>
      <c r="P76" s="56"/>
    </row>
    <row r="77" spans="1:20" s="13" customFormat="1" ht="49.5" customHeight="1" x14ac:dyDescent="0.2">
      <c r="A77" s="65" t="s">
        <v>140</v>
      </c>
      <c r="B77" s="66" t="s">
        <v>141</v>
      </c>
      <c r="C77" s="18" t="s">
        <v>24</v>
      </c>
      <c r="D77" s="20" t="s">
        <v>147</v>
      </c>
      <c r="E77" s="61">
        <f>SUM(F77:M77)</f>
        <v>14576.8</v>
      </c>
      <c r="F77" s="43">
        <v>0</v>
      </c>
      <c r="G77" s="27">
        <v>0</v>
      </c>
      <c r="H77" s="27">
        <v>1894.9</v>
      </c>
      <c r="I77" s="24">
        <f>1077.1+1622.8-409+402-93.2</f>
        <v>2599.6999999999998</v>
      </c>
      <c r="J77" s="24">
        <f>1120.2+1687.7</f>
        <v>2807.9</v>
      </c>
      <c r="K77" s="50">
        <f>1163.9+1753.5</f>
        <v>2917.4</v>
      </c>
      <c r="L77" s="50">
        <v>3034.1</v>
      </c>
      <c r="M77" s="50">
        <v>1322.8</v>
      </c>
      <c r="N77" s="40" t="s">
        <v>59</v>
      </c>
      <c r="O77" s="30" t="s">
        <v>84</v>
      </c>
      <c r="P77" s="56"/>
    </row>
    <row r="78" spans="1:20" s="13" customFormat="1" ht="12" customHeight="1" x14ac:dyDescent="0.2">
      <c r="A78" s="57"/>
      <c r="B78" s="58" t="s">
        <v>57</v>
      </c>
      <c r="C78" s="59"/>
      <c r="D78" s="67"/>
      <c r="E78" s="61">
        <f t="shared" ref="E78:K78" si="14">SUM(E74:E77)</f>
        <v>20515.8</v>
      </c>
      <c r="F78" s="49">
        <f t="shared" si="14"/>
        <v>3306.6</v>
      </c>
      <c r="G78" s="49">
        <f t="shared" si="14"/>
        <v>2632.4</v>
      </c>
      <c r="H78" s="49">
        <f t="shared" si="14"/>
        <v>1894.9</v>
      </c>
      <c r="I78" s="49">
        <f t="shared" si="14"/>
        <v>2599.6999999999998</v>
      </c>
      <c r="J78" s="49">
        <f t="shared" si="14"/>
        <v>2807.9</v>
      </c>
      <c r="K78" s="49">
        <f t="shared" si="14"/>
        <v>2917.4</v>
      </c>
      <c r="L78" s="51">
        <f>SUM(L74:L77)</f>
        <v>3034.1</v>
      </c>
      <c r="M78" s="51">
        <f>SUM(M74:M77)</f>
        <v>1322.8</v>
      </c>
      <c r="N78" s="70"/>
      <c r="O78" s="62"/>
      <c r="P78" s="56"/>
    </row>
    <row r="79" spans="1:20" ht="15.75" customHeight="1" x14ac:dyDescent="0.2">
      <c r="A79" s="60"/>
      <c r="B79" s="34" t="s">
        <v>29</v>
      </c>
      <c r="C79" s="60"/>
      <c r="D79" s="68"/>
      <c r="E79" s="49">
        <f>SUM(F79:M79)</f>
        <v>20515.799999999996</v>
      </c>
      <c r="F79" s="49">
        <f t="shared" ref="F79:I79" si="15">F78</f>
        <v>3306.6</v>
      </c>
      <c r="G79" s="49">
        <f t="shared" si="15"/>
        <v>2632.4</v>
      </c>
      <c r="H79" s="49">
        <f t="shared" si="15"/>
        <v>1894.9</v>
      </c>
      <c r="I79" s="49">
        <f t="shared" si="15"/>
        <v>2599.6999999999998</v>
      </c>
      <c r="J79" s="49">
        <f t="shared" ref="J79" si="16">J78</f>
        <v>2807.9</v>
      </c>
      <c r="K79" s="49">
        <f>K78</f>
        <v>2917.4</v>
      </c>
      <c r="L79" s="49">
        <f>L78</f>
        <v>3034.1</v>
      </c>
      <c r="M79" s="49">
        <f>M78</f>
        <v>1322.8</v>
      </c>
      <c r="N79" s="70"/>
      <c r="O79" s="63"/>
      <c r="P79" s="14"/>
    </row>
    <row r="80" spans="1:20" ht="16.5" customHeight="1" x14ac:dyDescent="0.2">
      <c r="A80" s="174" t="s">
        <v>113</v>
      </c>
      <c r="B80" s="175"/>
      <c r="C80" s="175"/>
      <c r="D80" s="175"/>
      <c r="E80" s="176"/>
      <c r="F80" s="175"/>
      <c r="G80" s="175"/>
      <c r="H80" s="175"/>
      <c r="I80" s="175"/>
      <c r="J80" s="175"/>
      <c r="K80" s="175"/>
      <c r="L80" s="175"/>
      <c r="M80" s="175"/>
      <c r="N80" s="175"/>
      <c r="O80" s="177"/>
      <c r="P80" s="14"/>
    </row>
    <row r="81" spans="1:16" ht="88.5" customHeight="1" x14ac:dyDescent="0.2">
      <c r="A81" s="18" t="s">
        <v>44</v>
      </c>
      <c r="B81" s="26" t="s">
        <v>85</v>
      </c>
      <c r="C81" s="18" t="s">
        <v>29</v>
      </c>
      <c r="D81" s="42" t="s">
        <v>145</v>
      </c>
      <c r="E81" s="21">
        <f>F81+G81+H81+I81+K81+J81+L81+M81</f>
        <v>56693.8</v>
      </c>
      <c r="F81" s="37">
        <v>5970</v>
      </c>
      <c r="G81" s="38">
        <v>6368.5</v>
      </c>
      <c r="H81" s="38">
        <v>7072.3</v>
      </c>
      <c r="I81" s="39">
        <f>6911+589+600</f>
        <v>8100</v>
      </c>
      <c r="J81" s="39">
        <f>7800-3550</f>
        <v>4250</v>
      </c>
      <c r="K81" s="39">
        <v>8104.2</v>
      </c>
      <c r="L81" s="39">
        <v>8428.4</v>
      </c>
      <c r="M81" s="39">
        <v>8400.4</v>
      </c>
      <c r="N81" s="40" t="s">
        <v>59</v>
      </c>
      <c r="O81" s="26" t="s">
        <v>39</v>
      </c>
      <c r="P81" s="14"/>
    </row>
    <row r="82" spans="1:16" ht="89.25" customHeight="1" x14ac:dyDescent="0.2">
      <c r="A82" s="18" t="s">
        <v>60</v>
      </c>
      <c r="B82" s="26" t="s">
        <v>61</v>
      </c>
      <c r="C82" s="18" t="s">
        <v>29</v>
      </c>
      <c r="D82" s="42" t="s">
        <v>145</v>
      </c>
      <c r="E82" s="21">
        <f>F82+G82+H82+I82+K82+J82+L82+M82</f>
        <v>103593.7</v>
      </c>
      <c r="F82" s="37">
        <v>12559.9</v>
      </c>
      <c r="G82" s="38">
        <f>13359.9</f>
        <v>13359.9</v>
      </c>
      <c r="H82" s="38">
        <v>12000</v>
      </c>
      <c r="I82" s="38">
        <f>11000+2300</f>
        <v>13300</v>
      </c>
      <c r="J82" s="38">
        <v>11000</v>
      </c>
      <c r="K82" s="38">
        <v>11975.6</v>
      </c>
      <c r="L82" s="38">
        <v>12454.6</v>
      </c>
      <c r="M82" s="38">
        <v>16943.7</v>
      </c>
      <c r="N82" s="26" t="s">
        <v>59</v>
      </c>
      <c r="O82" s="26" t="s">
        <v>39</v>
      </c>
      <c r="P82" s="14"/>
    </row>
    <row r="83" spans="1:16" ht="12.75" customHeight="1" x14ac:dyDescent="0.2">
      <c r="A83" s="94"/>
      <c r="B83" s="98" t="s">
        <v>43</v>
      </c>
      <c r="C83" s="94"/>
      <c r="D83" s="99"/>
      <c r="E83" s="74">
        <f>E82+E81</f>
        <v>160287.5</v>
      </c>
      <c r="F83" s="74">
        <f t="shared" ref="F83:K83" si="17">SUM(F81:F82)</f>
        <v>18529.900000000001</v>
      </c>
      <c r="G83" s="74">
        <f t="shared" si="17"/>
        <v>19728.400000000001</v>
      </c>
      <c r="H83" s="74">
        <f t="shared" si="17"/>
        <v>19072.3</v>
      </c>
      <c r="I83" s="74">
        <f t="shared" si="17"/>
        <v>21400</v>
      </c>
      <c r="J83" s="74">
        <f t="shared" si="17"/>
        <v>15250</v>
      </c>
      <c r="K83" s="74">
        <f t="shared" si="17"/>
        <v>20079.8</v>
      </c>
      <c r="L83" s="74">
        <f>SUM(L81:L82)</f>
        <v>20883</v>
      </c>
      <c r="M83" s="74">
        <f>SUM(M81:M82)</f>
        <v>25344.1</v>
      </c>
      <c r="N83" s="100"/>
      <c r="O83" s="98"/>
      <c r="P83" s="14"/>
    </row>
    <row r="84" spans="1:16" ht="15.75" customHeight="1" x14ac:dyDescent="0.2">
      <c r="A84" s="94"/>
      <c r="B84" s="86" t="s">
        <v>29</v>
      </c>
      <c r="C84" s="94"/>
      <c r="D84" s="99"/>
      <c r="E84" s="73">
        <f>SUM(F84:M84)</f>
        <v>160287.50000000003</v>
      </c>
      <c r="F84" s="74">
        <f t="shared" ref="F84:I84" si="18">F83</f>
        <v>18529.900000000001</v>
      </c>
      <c r="G84" s="74">
        <f t="shared" si="18"/>
        <v>19728.400000000001</v>
      </c>
      <c r="H84" s="74">
        <f t="shared" si="18"/>
        <v>19072.3</v>
      </c>
      <c r="I84" s="74">
        <f t="shared" si="18"/>
        <v>21400</v>
      </c>
      <c r="J84" s="74">
        <f t="shared" ref="J84" si="19">J83</f>
        <v>15250</v>
      </c>
      <c r="K84" s="74">
        <f>K83</f>
        <v>20079.8</v>
      </c>
      <c r="L84" s="101">
        <f>L83</f>
        <v>20883</v>
      </c>
      <c r="M84" s="101">
        <f>M83</f>
        <v>25344.1</v>
      </c>
      <c r="N84" s="102"/>
      <c r="O84" s="98"/>
      <c r="P84" s="14"/>
    </row>
    <row r="85" spans="1:16" ht="15.75" customHeight="1" x14ac:dyDescent="0.2">
      <c r="A85" s="171" t="s">
        <v>114</v>
      </c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3"/>
      <c r="P85" s="14"/>
    </row>
    <row r="86" spans="1:16" ht="31.5" customHeight="1" x14ac:dyDescent="0.2">
      <c r="A86" s="144" t="s">
        <v>115</v>
      </c>
      <c r="B86" s="142" t="s">
        <v>116</v>
      </c>
      <c r="C86" s="18" t="s">
        <v>29</v>
      </c>
      <c r="D86" s="42" t="s">
        <v>163</v>
      </c>
      <c r="E86" s="51">
        <f>SUM(F86:M86)</f>
        <v>7860.3</v>
      </c>
      <c r="F86" s="23">
        <v>0</v>
      </c>
      <c r="G86" s="23">
        <v>1000</v>
      </c>
      <c r="H86" s="23">
        <f>1000+600</f>
        <v>1600</v>
      </c>
      <c r="I86" s="23">
        <f>2700+409+744</f>
        <v>3853</v>
      </c>
      <c r="J86" s="23">
        <v>1286</v>
      </c>
      <c r="K86" s="23">
        <v>0</v>
      </c>
      <c r="L86" s="23">
        <v>0</v>
      </c>
      <c r="M86" s="23">
        <v>121.3</v>
      </c>
      <c r="N86" s="142" t="s">
        <v>59</v>
      </c>
      <c r="O86" s="142" t="s">
        <v>120</v>
      </c>
      <c r="P86" s="14"/>
    </row>
    <row r="87" spans="1:16" ht="21" customHeight="1" x14ac:dyDescent="0.2">
      <c r="A87" s="160"/>
      <c r="B87" s="159"/>
      <c r="C87" s="18" t="s">
        <v>125</v>
      </c>
      <c r="D87" s="42" t="s">
        <v>152</v>
      </c>
      <c r="E87" s="51">
        <f t="shared" ref="E87:E88" si="20">SUM(F87:K87)</f>
        <v>30836.1</v>
      </c>
      <c r="F87" s="23">
        <v>0</v>
      </c>
      <c r="G87" s="23">
        <v>3495</v>
      </c>
      <c r="H87" s="23">
        <v>10560</v>
      </c>
      <c r="I87" s="23">
        <v>12852.5</v>
      </c>
      <c r="J87" s="23">
        <v>3928.6</v>
      </c>
      <c r="K87" s="23">
        <v>0</v>
      </c>
      <c r="L87" s="23">
        <v>0</v>
      </c>
      <c r="M87" s="23">
        <v>0</v>
      </c>
      <c r="N87" s="159"/>
      <c r="O87" s="159"/>
      <c r="P87" s="14"/>
    </row>
    <row r="88" spans="1:16" ht="18.75" customHeight="1" x14ac:dyDescent="0.2">
      <c r="A88" s="145"/>
      <c r="B88" s="143"/>
      <c r="C88" s="18" t="s">
        <v>91</v>
      </c>
      <c r="D88" s="42" t="s">
        <v>152</v>
      </c>
      <c r="E88" s="51">
        <f t="shared" si="20"/>
        <v>66110.899999999994</v>
      </c>
      <c r="F88" s="23">
        <v>0</v>
      </c>
      <c r="G88" s="23">
        <v>11505</v>
      </c>
      <c r="H88" s="23">
        <v>19440</v>
      </c>
      <c r="I88" s="23">
        <v>26094.5</v>
      </c>
      <c r="J88" s="23">
        <v>9071.4</v>
      </c>
      <c r="K88" s="23">
        <v>0</v>
      </c>
      <c r="L88" s="23">
        <v>0</v>
      </c>
      <c r="M88" s="23">
        <v>0</v>
      </c>
      <c r="N88" s="143"/>
      <c r="O88" s="143"/>
      <c r="P88" s="14"/>
    </row>
    <row r="89" spans="1:16" ht="53.25" customHeight="1" x14ac:dyDescent="0.2">
      <c r="A89" s="18" t="s">
        <v>121</v>
      </c>
      <c r="B89" s="26" t="s">
        <v>122</v>
      </c>
      <c r="C89" s="18" t="s">
        <v>29</v>
      </c>
      <c r="D89" s="42" t="s">
        <v>164</v>
      </c>
      <c r="E89" s="51">
        <f>SUM(F89:M89)</f>
        <v>77.2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77.2</v>
      </c>
      <c r="N89" s="26" t="s">
        <v>59</v>
      </c>
      <c r="O89" s="26" t="s">
        <v>120</v>
      </c>
      <c r="P89" s="14"/>
    </row>
    <row r="90" spans="1:16" ht="51" customHeight="1" x14ac:dyDescent="0.2">
      <c r="A90" s="18" t="s">
        <v>117</v>
      </c>
      <c r="B90" s="26" t="s">
        <v>118</v>
      </c>
      <c r="C90" s="18" t="s">
        <v>29</v>
      </c>
      <c r="D90" s="42" t="s">
        <v>163</v>
      </c>
      <c r="E90" s="51">
        <f>SUM(F90:M90)</f>
        <v>3047.6</v>
      </c>
      <c r="F90" s="23">
        <v>0</v>
      </c>
      <c r="G90" s="23">
        <f>87.5+100</f>
        <v>187.5</v>
      </c>
      <c r="H90" s="23">
        <v>750</v>
      </c>
      <c r="I90" s="23">
        <f>450+1500-337.1+33+15</f>
        <v>1660.9</v>
      </c>
      <c r="J90" s="23">
        <v>350</v>
      </c>
      <c r="K90" s="23">
        <v>0</v>
      </c>
      <c r="L90" s="23">
        <v>0</v>
      </c>
      <c r="M90" s="23">
        <v>99.2</v>
      </c>
      <c r="N90" s="26" t="s">
        <v>59</v>
      </c>
      <c r="O90" s="26" t="s">
        <v>120</v>
      </c>
      <c r="P90" s="14"/>
    </row>
    <row r="91" spans="1:16" ht="51" customHeight="1" x14ac:dyDescent="0.2">
      <c r="A91" s="18" t="s">
        <v>129</v>
      </c>
      <c r="B91" s="26" t="s">
        <v>130</v>
      </c>
      <c r="C91" s="18" t="s">
        <v>29</v>
      </c>
      <c r="D91" s="42" t="s">
        <v>165</v>
      </c>
      <c r="E91" s="51">
        <f>SUM(F91:M91)</f>
        <v>344.9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109.4</v>
      </c>
      <c r="L91" s="23">
        <v>114.9</v>
      </c>
      <c r="M91" s="23">
        <v>120.6</v>
      </c>
      <c r="N91" s="26" t="s">
        <v>59</v>
      </c>
      <c r="O91" s="26" t="s">
        <v>120</v>
      </c>
      <c r="P91" s="14"/>
    </row>
    <row r="92" spans="1:16" ht="16.5" customHeight="1" x14ac:dyDescent="0.2">
      <c r="A92" s="94"/>
      <c r="B92" s="86" t="s">
        <v>119</v>
      </c>
      <c r="C92" s="94"/>
      <c r="D92" s="99"/>
      <c r="E92" s="74">
        <f t="shared" ref="E92:K92" si="21">SUM(E86:E91)</f>
        <v>108276.99999999999</v>
      </c>
      <c r="F92" s="74">
        <f t="shared" si="21"/>
        <v>0</v>
      </c>
      <c r="G92" s="74">
        <f t="shared" si="21"/>
        <v>16187.5</v>
      </c>
      <c r="H92" s="74">
        <f t="shared" si="21"/>
        <v>32350</v>
      </c>
      <c r="I92" s="74">
        <f t="shared" si="21"/>
        <v>44460.9</v>
      </c>
      <c r="J92" s="74">
        <f t="shared" si="21"/>
        <v>14636</v>
      </c>
      <c r="K92" s="74">
        <f t="shared" si="21"/>
        <v>109.4</v>
      </c>
      <c r="L92" s="101">
        <f>SUM(L86:L91)</f>
        <v>114.9</v>
      </c>
      <c r="M92" s="101">
        <f>SUM(M86:M91)</f>
        <v>418.29999999999995</v>
      </c>
      <c r="N92" s="103"/>
      <c r="O92" s="98"/>
      <c r="P92" s="14"/>
    </row>
    <row r="93" spans="1:16" ht="16.5" customHeight="1" x14ac:dyDescent="0.2">
      <c r="A93" s="94"/>
      <c r="B93" s="86" t="s">
        <v>29</v>
      </c>
      <c r="C93" s="94"/>
      <c r="D93" s="99"/>
      <c r="E93" s="74">
        <f>E92-E94-E95</f>
        <v>11330</v>
      </c>
      <c r="F93" s="74">
        <f t="shared" ref="F93" si="22">F92</f>
        <v>0</v>
      </c>
      <c r="G93" s="74">
        <f>G92-G94-G95</f>
        <v>1187.5</v>
      </c>
      <c r="H93" s="74">
        <f>H92-H94-H95</f>
        <v>2350</v>
      </c>
      <c r="I93" s="74">
        <f>I92-I94-I95</f>
        <v>5513.9000000000015</v>
      </c>
      <c r="J93" s="74">
        <f>J92-J94-J95</f>
        <v>1636</v>
      </c>
      <c r="K93" s="74">
        <f>SUM(K92)</f>
        <v>109.4</v>
      </c>
      <c r="L93" s="101">
        <f>L92</f>
        <v>114.9</v>
      </c>
      <c r="M93" s="101">
        <f>M92</f>
        <v>418.29999999999995</v>
      </c>
      <c r="N93" s="103"/>
      <c r="O93" s="98"/>
      <c r="P93" s="69"/>
    </row>
    <row r="94" spans="1:16" ht="16.5" customHeight="1" x14ac:dyDescent="0.2">
      <c r="A94" s="94"/>
      <c r="B94" s="86" t="s">
        <v>125</v>
      </c>
      <c r="C94" s="94"/>
      <c r="D94" s="99"/>
      <c r="E94" s="74">
        <f>SUM(F94:K94)</f>
        <v>30836.1</v>
      </c>
      <c r="F94" s="74">
        <f t="shared" ref="F94:M95" si="23">F87</f>
        <v>0</v>
      </c>
      <c r="G94" s="74">
        <f t="shared" si="23"/>
        <v>3495</v>
      </c>
      <c r="H94" s="74">
        <f t="shared" si="23"/>
        <v>10560</v>
      </c>
      <c r="I94" s="74">
        <f t="shared" si="23"/>
        <v>12852.5</v>
      </c>
      <c r="J94" s="74">
        <f t="shared" si="23"/>
        <v>3928.6</v>
      </c>
      <c r="K94" s="74">
        <f t="shared" si="23"/>
        <v>0</v>
      </c>
      <c r="L94" s="101">
        <v>0</v>
      </c>
      <c r="M94" s="101">
        <v>0</v>
      </c>
      <c r="N94" s="103"/>
      <c r="O94" s="98"/>
      <c r="P94" s="69"/>
    </row>
    <row r="95" spans="1:16" ht="16.5" customHeight="1" x14ac:dyDescent="0.2">
      <c r="A95" s="94"/>
      <c r="B95" s="86" t="s">
        <v>91</v>
      </c>
      <c r="C95" s="94"/>
      <c r="D95" s="99"/>
      <c r="E95" s="74">
        <f>SUM(F95:K95)</f>
        <v>66110.899999999994</v>
      </c>
      <c r="F95" s="74">
        <f t="shared" si="23"/>
        <v>0</v>
      </c>
      <c r="G95" s="74">
        <f t="shared" si="23"/>
        <v>11505</v>
      </c>
      <c r="H95" s="74">
        <f t="shared" si="23"/>
        <v>19440</v>
      </c>
      <c r="I95" s="74">
        <f t="shared" si="23"/>
        <v>26094.5</v>
      </c>
      <c r="J95" s="74">
        <f t="shared" si="23"/>
        <v>9071.4</v>
      </c>
      <c r="K95" s="74">
        <f t="shared" si="23"/>
        <v>0</v>
      </c>
      <c r="L95" s="74">
        <f t="shared" si="23"/>
        <v>0</v>
      </c>
      <c r="M95" s="74">
        <f t="shared" si="23"/>
        <v>0</v>
      </c>
      <c r="N95" s="103"/>
      <c r="O95" s="98"/>
      <c r="P95" s="69"/>
    </row>
    <row r="96" spans="1:16" ht="20.25" customHeight="1" x14ac:dyDescent="0.2">
      <c r="A96" s="104"/>
      <c r="B96" s="105" t="s">
        <v>58</v>
      </c>
      <c r="C96" s="106"/>
      <c r="D96" s="107"/>
      <c r="E96" s="108">
        <f t="shared" ref="E96:J96" si="24">E92+E83+E78+E71+E64+E56+E48+E35</f>
        <v>1261190.5</v>
      </c>
      <c r="F96" s="108">
        <f t="shared" si="24"/>
        <v>127932.1</v>
      </c>
      <c r="G96" s="108">
        <f t="shared" si="24"/>
        <v>177579.69999999998</v>
      </c>
      <c r="H96" s="108">
        <f t="shared" si="24"/>
        <v>216315.80000000002</v>
      </c>
      <c r="I96" s="108">
        <f t="shared" si="24"/>
        <v>207474.4</v>
      </c>
      <c r="J96" s="108">
        <f t="shared" si="24"/>
        <v>164390.5</v>
      </c>
      <c r="K96" s="108">
        <f>SUM(K92,K83,K78,K71,K64,K56,K48,K35)</f>
        <v>126250.6</v>
      </c>
      <c r="L96" s="109">
        <f>L35+L48+L56+L64+L71+L78+L83+L92</f>
        <v>134845.4</v>
      </c>
      <c r="M96" s="109">
        <f>M35+M48+M56+M64+M71+M78+M83+M92</f>
        <v>106402.00000000001</v>
      </c>
      <c r="N96" s="110"/>
      <c r="O96" s="111"/>
      <c r="P96" s="69"/>
    </row>
    <row r="97" spans="1:16" ht="21.75" customHeight="1" x14ac:dyDescent="0.2">
      <c r="A97" s="112"/>
      <c r="B97" s="113" t="s">
        <v>29</v>
      </c>
      <c r="C97" s="112"/>
      <c r="D97" s="114"/>
      <c r="E97" s="115">
        <f>SUM(E96-E98-E99-E100)</f>
        <v>1047450.7</v>
      </c>
      <c r="F97" s="116">
        <f>SUM(F96-F99-F100)</f>
        <v>114925.80000000002</v>
      </c>
      <c r="G97" s="115">
        <f>G96-G100-G98-G99</f>
        <v>143691.69999999998</v>
      </c>
      <c r="H97" s="115">
        <f>H96-H100-H98-H99</f>
        <v>157036.70000000001</v>
      </c>
      <c r="I97" s="115">
        <f>I96-I100-I98-I99</f>
        <v>141774.20000000001</v>
      </c>
      <c r="J97" s="115">
        <f>J96-J100-J98</f>
        <v>123517</v>
      </c>
      <c r="K97" s="115">
        <f t="shared" ref="K97" si="25">K96-K100</f>
        <v>125257.90000000001</v>
      </c>
      <c r="L97" s="117">
        <f>L96</f>
        <v>134845.4</v>
      </c>
      <c r="M97" s="117">
        <f>M96</f>
        <v>106402.00000000001</v>
      </c>
      <c r="N97" s="118"/>
      <c r="O97" s="111"/>
      <c r="P97" s="69"/>
    </row>
    <row r="98" spans="1:16" ht="15.75" customHeight="1" x14ac:dyDescent="0.2">
      <c r="A98" s="112"/>
      <c r="B98" s="113" t="s">
        <v>125</v>
      </c>
      <c r="C98" s="112"/>
      <c r="D98" s="114"/>
      <c r="E98" s="115">
        <f>SUM(F98:K98)</f>
        <v>30836.1</v>
      </c>
      <c r="F98" s="116">
        <f t="shared" ref="F98:K98" si="26">F94</f>
        <v>0</v>
      </c>
      <c r="G98" s="115">
        <f t="shared" si="26"/>
        <v>3495</v>
      </c>
      <c r="H98" s="115">
        <f t="shared" si="26"/>
        <v>10560</v>
      </c>
      <c r="I98" s="115">
        <f t="shared" si="26"/>
        <v>12852.5</v>
      </c>
      <c r="J98" s="115">
        <f t="shared" si="26"/>
        <v>3928.6</v>
      </c>
      <c r="K98" s="115">
        <f t="shared" si="26"/>
        <v>0</v>
      </c>
      <c r="L98" s="117">
        <v>0</v>
      </c>
      <c r="M98" s="117">
        <v>0</v>
      </c>
      <c r="N98" s="118"/>
      <c r="O98" s="111"/>
      <c r="P98" s="69"/>
    </row>
    <row r="99" spans="1:16" ht="24.75" customHeight="1" x14ac:dyDescent="0.2">
      <c r="A99" s="104"/>
      <c r="B99" s="105" t="s">
        <v>94</v>
      </c>
      <c r="C99" s="104"/>
      <c r="D99" s="119"/>
      <c r="E99" s="120">
        <f>SUM(F99:I99)</f>
        <v>48218.5</v>
      </c>
      <c r="F99" s="121">
        <f>F49</f>
        <v>12263.4</v>
      </c>
      <c r="G99" s="120">
        <f>G49</f>
        <v>14955.1</v>
      </c>
      <c r="H99" s="120">
        <v>21000</v>
      </c>
      <c r="I99" s="120">
        <f>I43</f>
        <v>0</v>
      </c>
      <c r="J99" s="120">
        <v>0</v>
      </c>
      <c r="K99" s="120">
        <v>0</v>
      </c>
      <c r="L99" s="122">
        <v>0</v>
      </c>
      <c r="M99" s="122">
        <v>0</v>
      </c>
      <c r="N99" s="123"/>
      <c r="O99" s="111"/>
      <c r="P99" s="69"/>
    </row>
    <row r="100" spans="1:16" ht="19.5" customHeight="1" x14ac:dyDescent="0.2">
      <c r="A100" s="124"/>
      <c r="B100" s="105" t="s">
        <v>91</v>
      </c>
      <c r="C100" s="124"/>
      <c r="D100" s="125"/>
      <c r="E100" s="120">
        <f>SUM(F100:K100)</f>
        <v>134685.20000000001</v>
      </c>
      <c r="F100" s="121">
        <f t="shared" ref="F100:K100" si="27">F95+F50+F37</f>
        <v>742.9</v>
      </c>
      <c r="G100" s="121">
        <f t="shared" si="27"/>
        <v>15437.9</v>
      </c>
      <c r="H100" s="121">
        <f t="shared" si="27"/>
        <v>27719.1</v>
      </c>
      <c r="I100" s="121">
        <f t="shared" si="27"/>
        <v>52847.7</v>
      </c>
      <c r="J100" s="121">
        <f t="shared" si="27"/>
        <v>36944.9</v>
      </c>
      <c r="K100" s="121">
        <f t="shared" si="27"/>
        <v>992.7</v>
      </c>
      <c r="L100" s="121">
        <v>0</v>
      </c>
      <c r="M100" s="121">
        <v>0</v>
      </c>
      <c r="N100" s="126"/>
      <c r="O100" s="127"/>
      <c r="P100" s="69"/>
    </row>
    <row r="101" spans="1:16" ht="21.75" customHeight="1" x14ac:dyDescent="0.2"/>
    <row r="102" spans="1:16" ht="21.75" customHeight="1" x14ac:dyDescent="0.2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</row>
    <row r="103" spans="1:16" ht="21.75" customHeight="1" x14ac:dyDescent="0.2"/>
    <row r="104" spans="1:16" ht="21.75" customHeight="1" x14ac:dyDescent="0.2"/>
    <row r="105" spans="1:16" ht="21.75" customHeight="1" x14ac:dyDescent="0.2"/>
    <row r="106" spans="1:16" ht="21.75" customHeight="1" x14ac:dyDescent="0.2"/>
    <row r="107" spans="1:16" ht="21.75" customHeight="1" x14ac:dyDescent="0.2"/>
    <row r="108" spans="1:16" ht="21.75" customHeight="1" x14ac:dyDescent="0.2"/>
    <row r="109" spans="1:16" ht="21.75" customHeight="1" x14ac:dyDescent="0.2"/>
    <row r="110" spans="1:16" ht="21.75" customHeight="1" x14ac:dyDescent="0.2"/>
    <row r="111" spans="1:16" ht="37.5" customHeight="1" x14ac:dyDescent="0.2"/>
    <row r="112" spans="1:16" ht="76.5" customHeight="1" x14ac:dyDescent="0.2"/>
    <row r="113" spans="1:15" ht="44.25" customHeight="1" x14ac:dyDescent="0.2"/>
    <row r="114" spans="1:15" s="13" customFormat="1" ht="21.75" customHeight="1" x14ac:dyDescent="0.2">
      <c r="A114" s="3"/>
      <c r="B114" s="3"/>
      <c r="C114" s="3"/>
      <c r="D114" s="3"/>
      <c r="E114" s="3"/>
      <c r="F114" s="3"/>
      <c r="G114" s="3"/>
      <c r="H114" s="12"/>
      <c r="I114" s="12"/>
      <c r="J114" s="12"/>
      <c r="K114" s="12"/>
      <c r="L114" s="12"/>
      <c r="M114" s="12"/>
      <c r="N114" s="3"/>
      <c r="O114" s="3"/>
    </row>
    <row r="115" spans="1:15" ht="25.5" customHeight="1" x14ac:dyDescent="0.2"/>
    <row r="116" spans="1:15" ht="33" customHeight="1" x14ac:dyDescent="0.2"/>
    <row r="117" spans="1:15" ht="42.75" customHeight="1" x14ac:dyDescent="0.2"/>
    <row r="118" spans="1:15" ht="13.5" customHeight="1" x14ac:dyDescent="0.2"/>
    <row r="119" spans="1:15" ht="42.75" customHeight="1" x14ac:dyDescent="0.2"/>
    <row r="120" spans="1:15" ht="20.100000000000001" customHeight="1" x14ac:dyDescent="0.2"/>
  </sheetData>
  <mergeCells count="65">
    <mergeCell ref="A66:O66"/>
    <mergeCell ref="A73:O73"/>
    <mergeCell ref="A33:A34"/>
    <mergeCell ref="B33:B34"/>
    <mergeCell ref="A102:O102"/>
    <mergeCell ref="A52:O52"/>
    <mergeCell ref="A38:O38"/>
    <mergeCell ref="A86:A88"/>
    <mergeCell ref="N5:O8"/>
    <mergeCell ref="B86:B88"/>
    <mergeCell ref="O86:O88"/>
    <mergeCell ref="N86:N88"/>
    <mergeCell ref="A85:O85"/>
    <mergeCell ref="A31:A32"/>
    <mergeCell ref="B31:B32"/>
    <mergeCell ref="N31:N32"/>
    <mergeCell ref="O31:O32"/>
    <mergeCell ref="A80:O80"/>
    <mergeCell ref="A58:O58"/>
    <mergeCell ref="N41:N43"/>
    <mergeCell ref="A23:A24"/>
    <mergeCell ref="B23:B24"/>
    <mergeCell ref="N29:N30"/>
    <mergeCell ref="O29:O30"/>
    <mergeCell ref="A17:O17"/>
    <mergeCell ref="N23:N24"/>
    <mergeCell ref="O23:O24"/>
    <mergeCell ref="A18:A19"/>
    <mergeCell ref="O41:O43"/>
    <mergeCell ref="A41:A43"/>
    <mergeCell ref="B41:B43"/>
    <mergeCell ref="A29:A30"/>
    <mergeCell ref="B29:B30"/>
    <mergeCell ref="O33:O34"/>
    <mergeCell ref="N33:N34"/>
    <mergeCell ref="G1:O1"/>
    <mergeCell ref="G4:O4"/>
    <mergeCell ref="A13:O13"/>
    <mergeCell ref="N14:N15"/>
    <mergeCell ref="E14:E15"/>
    <mergeCell ref="D14:D15"/>
    <mergeCell ref="B14:B15"/>
    <mergeCell ref="G2:O2"/>
    <mergeCell ref="A10:O10"/>
    <mergeCell ref="A11:O11"/>
    <mergeCell ref="A12:O12"/>
    <mergeCell ref="F14:M14"/>
    <mergeCell ref="G3:O3"/>
    <mergeCell ref="O14:O15"/>
    <mergeCell ref="C14:C15"/>
    <mergeCell ref="A14:A15"/>
    <mergeCell ref="B18:B19"/>
    <mergeCell ref="N18:N19"/>
    <mergeCell ref="O18:O19"/>
    <mergeCell ref="B21:B22"/>
    <mergeCell ref="A21:A22"/>
    <mergeCell ref="O21:O22"/>
    <mergeCell ref="N21:N22"/>
    <mergeCell ref="Q66:T66"/>
    <mergeCell ref="Q27:U27"/>
    <mergeCell ref="Q38:U38"/>
    <mergeCell ref="Q45:U45"/>
    <mergeCell ref="Q18:T18"/>
    <mergeCell ref="Q20:T20"/>
    <mergeCell ref="Q25:U25"/>
  </mergeCells>
  <phoneticPr fontId="0" type="noConversion"/>
  <pageMargins left="0.23622047244094491" right="0" top="0.59055118110236227" bottom="0.35433070866141736" header="0.74803149606299213" footer="0.51181102362204722"/>
  <pageSetup paperSize="9" scale="84" fitToHeight="6" orientation="landscape" r:id="rId1"/>
  <headerFooter alignWithMargins="0"/>
  <rowBreaks count="4" manualBreakCount="4">
    <brk id="28" max="14" man="1"/>
    <brk id="46" max="14" man="1"/>
    <brk id="63" max="14" man="1"/>
    <brk id="7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Oleg Leshchev</cp:lastModifiedBy>
  <cp:lastPrinted>2021-02-15T08:35:40Z</cp:lastPrinted>
  <dcterms:created xsi:type="dcterms:W3CDTF">1996-10-08T23:32:33Z</dcterms:created>
  <dcterms:modified xsi:type="dcterms:W3CDTF">2021-02-26T06:49:19Z</dcterms:modified>
</cp:coreProperties>
</file>